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35" yWindow="45" windowWidth="9510" windowHeight="8640" tabRatio="850" activeTab="1"/>
  </bookViews>
  <sheets>
    <sheet name="Quarterly Statement" sheetId="51" r:id="rId1"/>
    <sheet name="Quarterly Analysis Statement" sheetId="84" r:id="rId2"/>
    <sheet name="YE Final" sheetId="89" r:id="rId3"/>
    <sheet name="Top Level" sheetId="40" r:id="rId4"/>
    <sheet name="Data Entry" sheetId="47" r:id="rId5"/>
    <sheet name="Bank Accounts" sheetId="2" r:id="rId6"/>
    <sheet name="Ken Fehl" sheetId="86" r:id="rId7"/>
    <sheet name="Chart of Accounts" sheetId="36" r:id="rId8"/>
    <sheet name="Home Show-Blank" sheetId="81" state="hidden" r:id="rId9"/>
    <sheet name="Home Show-Raffle Tickets" sheetId="75" state="hidden" r:id="rId10"/>
    <sheet name="Home Show-Admission Tickets" sheetId="76" state="hidden" r:id="rId11"/>
    <sheet name="Home Show-Program Books" sheetId="77" state="hidden" r:id="rId12"/>
    <sheet name="Home Show-5050 Raffle" sheetId="78" state="hidden" r:id="rId13"/>
    <sheet name="Home Show-Concessions" sheetId="79" state="hidden" r:id="rId14"/>
    <sheet name="Home Show-Merchandise" sheetId="80" state="hidden" r:id="rId15"/>
    <sheet name="Principal Recon" sheetId="82" r:id="rId16"/>
  </sheets>
  <definedNames>
    <definedName name="_xlnm._FilterDatabase" localSheetId="4" hidden="1">'Data Entry'!$B$6:$J$33</definedName>
    <definedName name="Accounts">'Chart of Accounts'!$B$5:$C$20</definedName>
    <definedName name="BankAccounts">'Bank Accounts'!$B$8:$L$21</definedName>
    <definedName name="BegPrincipal" localSheetId="1">'Top Level'!#REF!</definedName>
    <definedName name="BegPrincipal" localSheetId="2">'Top Level'!#REF!</definedName>
    <definedName name="BegPrincipal">'Top Level'!#REF!</definedName>
    <definedName name="Chart">'Chart of Accounts'!$B$5:$C$20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Area" localSheetId="6">'Ken Fehl'!$A$1:$C$37</definedName>
    <definedName name="_xlnm.Print_Titles" localSheetId="4">'Data Entry'!$3:$6</definedName>
    <definedName name="PrudentPct">'Top Level'!$E$10</definedName>
    <definedName name="QtrAvgRange">'Chart of Accounts'!$L$5</definedName>
    <definedName name="QtrRollingAvgPct">'Chart of Accounts'!$L$7</definedName>
    <definedName name="QtrsAvg">'Top Level'!$E$12</definedName>
    <definedName name="QtrSumAvg">'Chart of Accounts'!$L$6</definedName>
    <definedName name="QtrTitle">'Chart of Accounts'!$L$4</definedName>
    <definedName name="QtrTop">'Chart of Accounts'!$J$11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Entry'!$F$7:$F$34</definedName>
    <definedName name="SumBank">'Data Entry'!$D$7:$D$34</definedName>
    <definedName name="SumExp">'Data Entry'!$I$7:$I$34</definedName>
    <definedName name="SumMonth">'Data Entry'!$B$7:$B$34</definedName>
    <definedName name="SumMonthNum">'Data Entry'!$C$7:$C$34</definedName>
    <definedName name="SumQ1">'Chart of Accounts'!$G$4:$I$4</definedName>
    <definedName name="SumQ2">'Chart of Accounts'!$G$5:$I$5</definedName>
    <definedName name="SumQ3">'Chart of Accounts'!$G$6:$I$6</definedName>
    <definedName name="SumQ4">'Chart of Accounts'!$G$7:$I$7</definedName>
    <definedName name="SumRevenue">'Data Entry'!$H$7:$H$34</definedName>
  </definedNames>
  <calcPr calcId="144525"/>
</workbook>
</file>

<file path=xl/calcChain.xml><?xml version="1.0" encoding="utf-8"?>
<calcChain xmlns="http://schemas.openxmlformats.org/spreadsheetml/2006/main">
  <c r="G12" i="51" l="1"/>
  <c r="I12" i="51"/>
  <c r="J4" i="2" l="1"/>
  <c r="C9" i="51"/>
  <c r="C37" i="86" l="1"/>
  <c r="C35" i="86"/>
  <c r="G11" i="47" l="1"/>
  <c r="E11" i="47"/>
  <c r="A4" i="84"/>
  <c r="C33" i="84" l="1"/>
  <c r="C32" i="84"/>
  <c r="C31" i="84"/>
  <c r="C27" i="84"/>
  <c r="C26" i="84"/>
  <c r="C25" i="84"/>
  <c r="C17" i="84"/>
  <c r="J16" i="84"/>
  <c r="J17" i="84" s="1"/>
  <c r="J18" i="84" s="1"/>
  <c r="H16" i="84"/>
  <c r="H17" i="84" s="1"/>
  <c r="H18" i="84" s="1"/>
  <c r="F16" i="84"/>
  <c r="F17" i="84" s="1"/>
  <c r="F18" i="84" s="1"/>
  <c r="C9" i="84"/>
  <c r="C8" i="84"/>
  <c r="E33" i="47"/>
  <c r="E32" i="47"/>
  <c r="E31" i="47"/>
  <c r="E30" i="47"/>
  <c r="E29" i="47"/>
  <c r="E28" i="47"/>
  <c r="E27" i="47"/>
  <c r="E26" i="47"/>
  <c r="E25" i="47"/>
  <c r="E24" i="47"/>
  <c r="E23" i="47"/>
  <c r="E22" i="47"/>
  <c r="E21" i="47"/>
  <c r="E20" i="47"/>
  <c r="E19" i="47"/>
  <c r="E18" i="47"/>
  <c r="E17" i="47"/>
  <c r="E16" i="47"/>
  <c r="E15" i="47"/>
  <c r="E14" i="47"/>
  <c r="E13" i="47"/>
  <c r="E12" i="47"/>
  <c r="E10" i="47"/>
  <c r="E9" i="47"/>
  <c r="E8" i="47"/>
  <c r="G33" i="47"/>
  <c r="G32" i="47"/>
  <c r="G31" i="47"/>
  <c r="G30" i="47"/>
  <c r="G29" i="47"/>
  <c r="G28" i="47"/>
  <c r="G27" i="47"/>
  <c r="G26" i="47"/>
  <c r="G25" i="47"/>
  <c r="G24" i="47"/>
  <c r="G23" i="47"/>
  <c r="G22" i="47"/>
  <c r="G21" i="47"/>
  <c r="G20" i="47"/>
  <c r="G19" i="47"/>
  <c r="G18" i="47"/>
  <c r="G17" i="47"/>
  <c r="G16" i="47"/>
  <c r="G15" i="47"/>
  <c r="G14" i="47"/>
  <c r="G13" i="47"/>
  <c r="G12" i="47"/>
  <c r="G10" i="47"/>
  <c r="G9" i="47"/>
  <c r="G8" i="47"/>
  <c r="G7" i="47"/>
  <c r="E7" i="47"/>
  <c r="H26" i="2" l="1"/>
  <c r="L4" i="36" l="1"/>
  <c r="L5" i="36"/>
  <c r="F31" i="36"/>
  <c r="G31" i="36"/>
  <c r="H31" i="36" s="1"/>
  <c r="F37" i="36"/>
  <c r="L6" i="36"/>
  <c r="B20" i="51" l="1"/>
  <c r="B20" i="84"/>
  <c r="L7" i="36"/>
  <c r="K20" i="84" l="1"/>
  <c r="K20" i="51"/>
  <c r="H35" i="47"/>
  <c r="I35" i="47" l="1"/>
  <c r="H30" i="2" l="1"/>
  <c r="F26" i="2"/>
  <c r="C26" i="2" l="1"/>
  <c r="A3" i="2" l="1"/>
  <c r="B3" i="47"/>
  <c r="C27" i="51"/>
  <c r="D16" i="82" l="1"/>
  <c r="H17" i="82"/>
  <c r="I7" i="82"/>
  <c r="G8" i="82" s="1"/>
  <c r="I8" i="82" s="1"/>
  <c r="G9" i="82" s="1"/>
  <c r="I9" i="82" s="1"/>
  <c r="G10" i="82" s="1"/>
  <c r="I10" i="82" s="1"/>
  <c r="G11" i="82" s="1"/>
  <c r="I11" i="82" s="1"/>
  <c r="G12" i="82" s="1"/>
  <c r="I12" i="82" s="1"/>
  <c r="G13" i="82" s="1"/>
  <c r="I13" i="82" s="1"/>
  <c r="G14" i="82" s="1"/>
  <c r="I14" i="82" s="1"/>
  <c r="G15" i="82" s="1"/>
  <c r="I15" i="82" s="1"/>
  <c r="G16" i="82" s="1"/>
  <c r="I16" i="82" s="1"/>
  <c r="E7" i="82"/>
  <c r="C8" i="82" s="1"/>
  <c r="E8" i="82" s="1"/>
  <c r="C9" i="82" s="1"/>
  <c r="E9" i="82" s="1"/>
  <c r="C10" i="82" s="1"/>
  <c r="E10" i="82" s="1"/>
  <c r="C11" i="82" s="1"/>
  <c r="E11" i="82" s="1"/>
  <c r="C12" i="82" s="1"/>
  <c r="E12" i="82" s="1"/>
  <c r="C13" i="82" s="1"/>
  <c r="E13" i="82" s="1"/>
  <c r="C14" i="82" s="1"/>
  <c r="E14" i="82" s="1"/>
  <c r="C15" i="82" s="1"/>
  <c r="E15" i="82" s="1"/>
  <c r="C16" i="82" s="1"/>
  <c r="E26" i="2"/>
  <c r="E30" i="2" s="1"/>
  <c r="C26" i="51"/>
  <c r="C17" i="51"/>
  <c r="F16" i="51"/>
  <c r="F17" i="51" s="1"/>
  <c r="H16" i="51"/>
  <c r="H17" i="51" s="1"/>
  <c r="H18" i="51" s="1"/>
  <c r="J16" i="51"/>
  <c r="K7" i="2"/>
  <c r="J7" i="2"/>
  <c r="C32" i="51"/>
  <c r="A4" i="51"/>
  <c r="C33" i="51"/>
  <c r="C31" i="51"/>
  <c r="K24" i="51"/>
  <c r="C25" i="51"/>
  <c r="I7" i="36"/>
  <c r="H7" i="36"/>
  <c r="G7" i="36"/>
  <c r="I6" i="36"/>
  <c r="A17" i="2" s="1"/>
  <c r="K17" i="2" s="1"/>
  <c r="H6" i="36"/>
  <c r="A16" i="2" s="1"/>
  <c r="K16" i="2" s="1"/>
  <c r="G6" i="36"/>
  <c r="I5" i="36"/>
  <c r="A14" i="2" s="1"/>
  <c r="K14" i="2" s="1"/>
  <c r="H5" i="36"/>
  <c r="A13" i="2" s="1"/>
  <c r="K13" i="2" s="1"/>
  <c r="G5" i="36"/>
  <c r="I4" i="36"/>
  <c r="H4" i="36"/>
  <c r="G4" i="36"/>
  <c r="F6" i="2"/>
  <c r="C6" i="2"/>
  <c r="A12" i="2" l="1"/>
  <c r="K12" i="2" s="1"/>
  <c r="G33" i="84"/>
  <c r="G31" i="84"/>
  <c r="G32" i="84"/>
  <c r="G27" i="84"/>
  <c r="G26" i="84"/>
  <c r="G25" i="84"/>
  <c r="K33" i="84"/>
  <c r="K31" i="84"/>
  <c r="K32" i="84"/>
  <c r="K27" i="84"/>
  <c r="K26" i="84"/>
  <c r="K25" i="84"/>
  <c r="E32" i="84"/>
  <c r="E26" i="84"/>
  <c r="E25" i="84"/>
  <c r="E33" i="84"/>
  <c r="E31" i="84"/>
  <c r="E27" i="84"/>
  <c r="A15" i="2"/>
  <c r="K15" i="2" s="1"/>
  <c r="I32" i="84"/>
  <c r="I33" i="84"/>
  <c r="I31" i="84"/>
  <c r="I27" i="84"/>
  <c r="I26" i="84"/>
  <c r="I25" i="84"/>
  <c r="A10" i="2"/>
  <c r="A9" i="2"/>
  <c r="K11" i="84"/>
  <c r="G11" i="84"/>
  <c r="I11" i="84"/>
  <c r="A11" i="2"/>
  <c r="K11" i="2" s="1"/>
  <c r="E16" i="82"/>
  <c r="C17" i="82" s="1"/>
  <c r="A18" i="2"/>
  <c r="K18" i="2" s="1"/>
  <c r="A20" i="2"/>
  <c r="K20" i="2" s="1"/>
  <c r="A19" i="2"/>
  <c r="K19" i="2" s="1"/>
  <c r="C9" i="2"/>
  <c r="D9" i="2"/>
  <c r="J9" i="2"/>
  <c r="K10" i="2"/>
  <c r="J10" i="2"/>
  <c r="G10" i="2"/>
  <c r="J16" i="82"/>
  <c r="J14" i="82"/>
  <c r="J12" i="82"/>
  <c r="J10" i="82"/>
  <c r="J8" i="82"/>
  <c r="J7" i="82"/>
  <c r="J15" i="82"/>
  <c r="J13" i="82"/>
  <c r="J11" i="82"/>
  <c r="J9" i="82"/>
  <c r="G17" i="82"/>
  <c r="I17" i="82" s="1"/>
  <c r="G18" i="82" s="1"/>
  <c r="I18" i="82" s="1"/>
  <c r="E17" i="82"/>
  <c r="K7" i="51"/>
  <c r="J20" i="2"/>
  <c r="J18" i="2"/>
  <c r="J16" i="2"/>
  <c r="J14" i="2"/>
  <c r="J12" i="2"/>
  <c r="K9" i="2"/>
  <c r="J19" i="2"/>
  <c r="J17" i="2"/>
  <c r="J15" i="2"/>
  <c r="J13" i="2"/>
  <c r="J11" i="2"/>
  <c r="J17" i="51"/>
  <c r="J18" i="51" s="1"/>
  <c r="F18" i="51"/>
  <c r="G7" i="51"/>
  <c r="I7" i="51"/>
  <c r="E24" i="51"/>
  <c r="K11" i="51"/>
  <c r="I11" i="51"/>
  <c r="I24" i="51"/>
  <c r="I27" i="51" s="1"/>
  <c r="G11" i="51"/>
  <c r="G24" i="51"/>
  <c r="G27" i="51" s="1"/>
  <c r="C6" i="40"/>
  <c r="L26" i="84" l="1"/>
  <c r="L32" i="84"/>
  <c r="L33" i="84"/>
  <c r="L25" i="84"/>
  <c r="L27" i="84"/>
  <c r="L31" i="84"/>
  <c r="E26" i="51"/>
  <c r="E31" i="51"/>
  <c r="E27" i="51"/>
  <c r="C18" i="82"/>
  <c r="E18" i="82" s="1"/>
  <c r="J17" i="82"/>
  <c r="G25" i="51"/>
  <c r="G26" i="51"/>
  <c r="I26" i="51"/>
  <c r="I25" i="51"/>
  <c r="J21" i="2"/>
  <c r="G33" i="51"/>
  <c r="E33" i="51"/>
  <c r="E32" i="51"/>
  <c r="G31" i="51"/>
  <c r="G32" i="51"/>
  <c r="I31" i="51"/>
  <c r="I32" i="51"/>
  <c r="E25" i="51"/>
  <c r="K21" i="2"/>
  <c r="I33" i="51"/>
  <c r="I34" i="84" l="1"/>
  <c r="G28" i="84"/>
  <c r="E34" i="84"/>
  <c r="E28" i="84"/>
  <c r="G34" i="84"/>
  <c r="I28" i="84"/>
  <c r="C19" i="82"/>
  <c r="E19" i="82" s="1"/>
  <c r="J18" i="82"/>
  <c r="K25" i="51"/>
  <c r="K26" i="51"/>
  <c r="K33" i="51"/>
  <c r="K32" i="51"/>
  <c r="K31" i="51"/>
  <c r="K27" i="51"/>
  <c r="G36" i="84" l="1"/>
  <c r="E36" i="84"/>
  <c r="I36" i="84"/>
  <c r="K34" i="84"/>
  <c r="L34" i="84" s="1"/>
  <c r="K28" i="84"/>
  <c r="L28" i="84" s="1"/>
  <c r="C8" i="51"/>
  <c r="K36" i="84" l="1"/>
  <c r="L36" i="84" s="1"/>
  <c r="F19" i="2"/>
  <c r="D19" i="2"/>
  <c r="C19" i="2"/>
  <c r="G19" i="2"/>
  <c r="F11" i="2"/>
  <c r="D11" i="2"/>
  <c r="G11" i="2"/>
  <c r="C11" i="2"/>
  <c r="G16" i="2"/>
  <c r="C16" i="2"/>
  <c r="F16" i="2"/>
  <c r="D16" i="2"/>
  <c r="F15" i="2"/>
  <c r="D15" i="2"/>
  <c r="G15" i="2"/>
  <c r="C15" i="2"/>
  <c r="G20" i="2"/>
  <c r="C20" i="2"/>
  <c r="F20" i="2"/>
  <c r="D20" i="2"/>
  <c r="G12" i="2"/>
  <c r="C12" i="2"/>
  <c r="F12" i="2"/>
  <c r="D12" i="2"/>
  <c r="F17" i="2"/>
  <c r="D17" i="2"/>
  <c r="G17" i="2"/>
  <c r="C17" i="2"/>
  <c r="F13" i="2"/>
  <c r="D13" i="2"/>
  <c r="G13" i="2"/>
  <c r="C13" i="2"/>
  <c r="G18" i="2"/>
  <c r="C18" i="2"/>
  <c r="F18" i="2"/>
  <c r="D18" i="2"/>
  <c r="G14" i="2"/>
  <c r="C14" i="2"/>
  <c r="F14" i="2"/>
  <c r="D14" i="2"/>
  <c r="C10" i="2"/>
  <c r="F10" i="2"/>
  <c r="D10" i="2"/>
  <c r="F9" i="2"/>
  <c r="G9" i="2"/>
  <c r="E9" i="2"/>
  <c r="A9" i="81"/>
  <c r="A10" i="81" s="1"/>
  <c r="A11" i="81" s="1"/>
  <c r="A12" i="81" s="1"/>
  <c r="A13" i="81" s="1"/>
  <c r="A14" i="81" s="1"/>
  <c r="A15" i="81" s="1"/>
  <c r="A16" i="81" s="1"/>
  <c r="A17" i="81" s="1"/>
  <c r="A18" i="81" s="1"/>
  <c r="A19" i="81" s="1"/>
  <c r="A20" i="81" s="1"/>
  <c r="A21" i="81" s="1"/>
  <c r="A22" i="81" s="1"/>
  <c r="A23" i="81" s="1"/>
  <c r="A24" i="81" s="1"/>
  <c r="A25" i="81" s="1"/>
  <c r="A26" i="81" s="1"/>
  <c r="A27" i="81" s="1"/>
  <c r="A28" i="81" s="1"/>
  <c r="A9" i="80"/>
  <c r="A10" i="80" s="1"/>
  <c r="A11" i="80" s="1"/>
  <c r="A12" i="80" s="1"/>
  <c r="A13" i="80" s="1"/>
  <c r="A14" i="80" s="1"/>
  <c r="A15" i="80" s="1"/>
  <c r="A16" i="80" s="1"/>
  <c r="A17" i="80" s="1"/>
  <c r="A18" i="80" s="1"/>
  <c r="A19" i="80" s="1"/>
  <c r="A20" i="80" s="1"/>
  <c r="A21" i="80" s="1"/>
  <c r="A22" i="80" s="1"/>
  <c r="A23" i="80" s="1"/>
  <c r="A24" i="80" s="1"/>
  <c r="A25" i="80" s="1"/>
  <c r="A26" i="80" s="1"/>
  <c r="A27" i="80" s="1"/>
  <c r="A28" i="80" s="1"/>
  <c r="E8" i="79"/>
  <c r="A9" i="79"/>
  <c r="A10" i="79" s="1"/>
  <c r="A11" i="79" s="1"/>
  <c r="A12" i="79" s="1"/>
  <c r="A13" i="79" s="1"/>
  <c r="A14" i="79" s="1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9" i="78"/>
  <c r="A10" i="78" s="1"/>
  <c r="A11" i="78" s="1"/>
  <c r="A12" i="78" s="1"/>
  <c r="A13" i="78" s="1"/>
  <c r="A14" i="78" s="1"/>
  <c r="A15" i="78" s="1"/>
  <c r="A16" i="78" s="1"/>
  <c r="A17" i="78" s="1"/>
  <c r="A18" i="78" s="1"/>
  <c r="A19" i="78" s="1"/>
  <c r="A20" i="78" s="1"/>
  <c r="A21" i="78" s="1"/>
  <c r="A22" i="78" s="1"/>
  <c r="A23" i="78" s="1"/>
  <c r="A24" i="78" s="1"/>
  <c r="A25" i="78" s="1"/>
  <c r="A26" i="78" s="1"/>
  <c r="A27" i="78" s="1"/>
  <c r="A28" i="78" s="1"/>
  <c r="A9" i="77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9" i="76"/>
  <c r="A10" i="76" s="1"/>
  <c r="A11" i="76" s="1"/>
  <c r="A12" i="76" s="1"/>
  <c r="A13" i="76" s="1"/>
  <c r="A14" i="76" s="1"/>
  <c r="A15" i="76" s="1"/>
  <c r="A16" i="76" s="1"/>
  <c r="A17" i="76" s="1"/>
  <c r="A18" i="76" s="1"/>
  <c r="A19" i="76" s="1"/>
  <c r="A20" i="76" s="1"/>
  <c r="A21" i="76" s="1"/>
  <c r="A22" i="76" s="1"/>
  <c r="A23" i="76" s="1"/>
  <c r="A24" i="76" s="1"/>
  <c r="A25" i="76" s="1"/>
  <c r="A26" i="76" s="1"/>
  <c r="A27" i="76" s="1"/>
  <c r="A28" i="76" s="1"/>
  <c r="A9" i="75"/>
  <c r="A10" i="75" s="1"/>
  <c r="A11" i="75" s="1"/>
  <c r="A12" i="75" s="1"/>
  <c r="A13" i="75" s="1"/>
  <c r="A14" i="75" s="1"/>
  <c r="A15" i="75" s="1"/>
  <c r="A16" i="75" s="1"/>
  <c r="A17" i="75" s="1"/>
  <c r="A18" i="75" s="1"/>
  <c r="A19" i="75" s="1"/>
  <c r="A20" i="75" s="1"/>
  <c r="A21" i="75" s="1"/>
  <c r="A22" i="75" s="1"/>
  <c r="A23" i="75" s="1"/>
  <c r="A24" i="75" s="1"/>
  <c r="A25" i="75" s="1"/>
  <c r="A26" i="75" s="1"/>
  <c r="A27" i="75" s="1"/>
  <c r="A28" i="75" s="1"/>
  <c r="H9" i="2" l="1"/>
  <c r="L9" i="2"/>
  <c r="E10" i="2"/>
  <c r="G21" i="2"/>
  <c r="F21" i="2"/>
  <c r="H10" i="2" l="1"/>
  <c r="E11" i="2"/>
  <c r="L10" i="2"/>
  <c r="E8" i="84" l="1"/>
  <c r="H11" i="2"/>
  <c r="E12" i="2"/>
  <c r="E13" i="2" s="1"/>
  <c r="L11" i="2"/>
  <c r="C21" i="2"/>
  <c r="D21" i="2"/>
  <c r="E9" i="84" l="1"/>
  <c r="E10" i="84" s="1"/>
  <c r="E15" i="84"/>
  <c r="H12" i="2"/>
  <c r="L12" i="2"/>
  <c r="E14" i="2"/>
  <c r="I34" i="51"/>
  <c r="I28" i="51"/>
  <c r="K34" i="51"/>
  <c r="G34" i="51"/>
  <c r="E12" i="84" l="1"/>
  <c r="G8" i="84"/>
  <c r="L13" i="2"/>
  <c r="E16" i="84"/>
  <c r="E17" i="84" s="1"/>
  <c r="E18" i="84" s="1"/>
  <c r="H13" i="2"/>
  <c r="E15" i="2"/>
  <c r="I36" i="51"/>
  <c r="L14" i="2" l="1"/>
  <c r="H14" i="2"/>
  <c r="E16" i="2"/>
  <c r="H15" i="2" l="1"/>
  <c r="H16" i="2" s="1"/>
  <c r="H17" i="2" s="1"/>
  <c r="E9" i="51"/>
  <c r="I9" i="84"/>
  <c r="H18" i="2"/>
  <c r="G15" i="84"/>
  <c r="L15" i="2"/>
  <c r="G9" i="84"/>
  <c r="G10" i="84" s="1"/>
  <c r="E17" i="2"/>
  <c r="G12" i="84" l="1"/>
  <c r="I8" i="84"/>
  <c r="H19" i="2"/>
  <c r="G9" i="51"/>
  <c r="I10" i="84"/>
  <c r="L16" i="2"/>
  <c r="G16" i="84"/>
  <c r="G17" i="84" s="1"/>
  <c r="G18" i="84" s="1"/>
  <c r="E18" i="2"/>
  <c r="E8" i="51"/>
  <c r="E34" i="51"/>
  <c r="I12" i="84" l="1"/>
  <c r="H20" i="2"/>
  <c r="I9" i="51"/>
  <c r="L17" i="2"/>
  <c r="E19" i="2"/>
  <c r="E28" i="51"/>
  <c r="K28" i="51"/>
  <c r="K36" i="51" s="1"/>
  <c r="G28" i="51"/>
  <c r="G36" i="51" s="1"/>
  <c r="H21" i="2"/>
  <c r="H5" i="2" l="1"/>
  <c r="K9" i="84"/>
  <c r="K9" i="51"/>
  <c r="I15" i="84"/>
  <c r="I16" i="84" s="1"/>
  <c r="I17" i="84" s="1"/>
  <c r="I18" i="84" s="1"/>
  <c r="E15" i="51"/>
  <c r="L18" i="2"/>
  <c r="E20" i="2"/>
  <c r="G8" i="51"/>
  <c r="E36" i="51"/>
  <c r="E10" i="51"/>
  <c r="E21" i="2"/>
  <c r="B21" i="84" l="1"/>
  <c r="B21" i="51"/>
  <c r="K8" i="84"/>
  <c r="G15" i="51"/>
  <c r="K10" i="84"/>
  <c r="K12" i="84" s="1"/>
  <c r="E5" i="2"/>
  <c r="L19" i="2"/>
  <c r="E24" i="2"/>
  <c r="G10" i="51"/>
  <c r="E31" i="2"/>
  <c r="I8" i="51"/>
  <c r="E16" i="51"/>
  <c r="G16" i="51" l="1"/>
  <c r="G17" i="51" s="1"/>
  <c r="G18" i="51" s="1"/>
  <c r="I15" i="51"/>
  <c r="L20" i="2"/>
  <c r="I10" i="51"/>
  <c r="I16" i="51" s="1"/>
  <c r="I17" i="51" s="1"/>
  <c r="I18" i="51" s="1"/>
  <c r="K8" i="51"/>
  <c r="E17" i="51"/>
  <c r="E18" i="51" s="1"/>
  <c r="L21" i="2" l="1"/>
  <c r="K15" i="84"/>
  <c r="K16" i="84" s="1"/>
  <c r="K17" i="84" s="1"/>
  <c r="K18" i="84" s="1"/>
  <c r="K15" i="51"/>
  <c r="H24" i="2"/>
  <c r="H31" i="2"/>
  <c r="K10" i="51"/>
  <c r="K12" i="51" s="1"/>
  <c r="K16" i="51" l="1"/>
  <c r="K17" i="51" s="1"/>
  <c r="K18" i="51" s="1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<sst xmlns="http://schemas.openxmlformats.org/spreadsheetml/2006/main" count="402" uniqueCount="258">
  <si>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</si>
  <si>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</si>
  <si>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</si>
  <si>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</si>
  <si>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</si>
  <si>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</si>
  <si>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</si>
  <si>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</si>
  <si>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</si>
  <si>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</si>
  <si>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</si>
  <si>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</si>
  <si>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</si>
  <si>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</si>
  <si>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</si>
  <si>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</si>
  <si>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</si>
  <si>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</si>
  <si>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</si>
  <si>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</si>
  <si>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</si>
  <si>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</si>
  <si>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</si>
  <si>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</si>
  <si>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</si>
  <si>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</si>
  <si>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</si>
  <si>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</si>
  <si>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</si>
  <si>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</si>
  <si>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</si>
  <si>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</si>
  <si>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</si>
  <si>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</si>
  <si>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</si>
  <si>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</si>
  <si>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</si>
  <si>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</si>
  <si>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</si>
  <si>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</si>
  <si>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</si>
  <si>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</si>
  <si>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</si>
  <si>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</si>
  <si>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</si>
  <si>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</si>
  <si>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</si>
  <si>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</si>
  <si>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</si>
  <si>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</si>
  <si>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</si>
  <si>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</si>
  <si>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Fidelity Investments</t>
  </si>
  <si>
    <t>Racine Community Foundation</t>
  </si>
  <si>
    <t>4000:  Income</t>
  </si>
  <si>
    <t>Interest</t>
  </si>
  <si>
    <t>Fund Expenses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</si>
  <si>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</si>
  <si>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</si>
  <si>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</si>
  <si>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</si>
  <si>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</si>
  <si>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</si>
  <si>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</si>
  <si>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</si>
  <si>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</si>
  <si>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</si>
  <si>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</si>
  <si>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</si>
  <si>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</si>
  <si>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</si>
  <si>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</si>
  <si>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</si>
  <si>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</si>
  <si>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</si>
  <si>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</si>
  <si>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</si>
  <si>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</si>
  <si>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</si>
  <si>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</si>
  <si>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</si>
  <si>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</si>
  <si>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</si>
  <si>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</si>
  <si>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</si>
  <si>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</si>
  <si>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</si>
  <si>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</si>
  <si>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</si>
  <si>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</si>
  <si>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</si>
  <si>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Reconciliation</t>
  </si>
  <si>
    <t xml:space="preserve">Curr Stmt.  </t>
  </si>
  <si>
    <t xml:space="preserve">CheckSum: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</si>
  <si>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</si>
  <si>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</si>
  <si>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</si>
  <si>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</si>
  <si>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</si>
  <si>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</si>
  <si>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</si>
  <si>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</si>
  <si>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</si>
  <si>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</si>
  <si>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</si>
  <si>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</si>
  <si>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</si>
  <si>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</si>
  <si>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</si>
  <si>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</si>
  <si>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</si>
  <si>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</si>
  <si>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</si>
  <si>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</si>
  <si>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</si>
  <si>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</si>
  <si>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</si>
  <si>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</si>
  <si>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</si>
  <si>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</si>
  <si>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</si>
  <si>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</si>
  <si>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</si>
  <si>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</si>
  <si>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</si>
  <si>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Rolling Avg Data</t>
  </si>
  <si>
    <t>4q23</t>
  </si>
  <si>
    <t>1q24</t>
  </si>
  <si>
    <t>2q24</t>
  </si>
  <si>
    <t>3q24</t>
  </si>
  <si>
    <t>4q24</t>
  </si>
  <si>
    <t>1q25</t>
  </si>
  <si>
    <t>2q25</t>
  </si>
  <si>
    <t>3q25</t>
  </si>
  <si>
    <t>4q25</t>
  </si>
  <si>
    <t>** Use 'Change in Investment Value' value from Fidelity statement, not total change</t>
  </si>
  <si>
    <t>Thank You Sent</t>
  </si>
  <si>
    <t>:QtrTitle</t>
  </si>
  <si>
    <t>:QtrAvgRange</t>
  </si>
  <si>
    <t>:QtrRollingAvgPct</t>
  </si>
  <si>
    <t>:QtrSumAvg</t>
  </si>
  <si>
    <t>(Available Funds less Reserve)</t>
  </si>
  <si>
    <r>
      <t xml:space="preserve">Available Funds  </t>
    </r>
    <r>
      <rPr>
        <sz val="10"/>
        <color theme="1"/>
        <rFont val="Arial"/>
        <family val="2"/>
      </rPr>
      <t>(Ttl Assets less Principal)</t>
    </r>
  </si>
  <si>
    <t>CurrentYr:</t>
  </si>
  <si>
    <t>Current</t>
  </si>
  <si>
    <t>Qtr:</t>
  </si>
  <si>
    <t>Bank Code</t>
  </si>
  <si>
    <t>By Mary Jane Canman rem Joyce Levonian</t>
  </si>
  <si>
    <t>Code</t>
  </si>
  <si>
    <t>First
Quarter Balance</t>
  </si>
  <si>
    <t>Second
Quarter Balance</t>
  </si>
  <si>
    <t>Third
Quarter Balance</t>
  </si>
  <si>
    <t>First
Quarter</t>
  </si>
  <si>
    <t>Second
Quarter</t>
  </si>
  <si>
    <t>Third
Quarter</t>
  </si>
  <si>
    <t>Year End
Total</t>
  </si>
  <si>
    <t>Fourth
Quarter
(YE Balance)</t>
  </si>
  <si>
    <t>Fourth
Quarter</t>
  </si>
  <si>
    <t>By Mary &amp; Tom Hauch rem Joyce Levonian</t>
  </si>
  <si>
    <t>By Steven &amp; Jennifer Scheiffer rem Joyce Levonian</t>
  </si>
  <si>
    <t>By Gary &amp; Kathy Anderson rem Joyce Levonian</t>
  </si>
  <si>
    <t>X</t>
  </si>
  <si>
    <t>January statement</t>
  </si>
  <si>
    <t>February statement</t>
  </si>
  <si>
    <t>March statement</t>
  </si>
  <si>
    <t>April statement</t>
  </si>
  <si>
    <t>May statement</t>
  </si>
  <si>
    <t>June statement</t>
  </si>
  <si>
    <t>July statement</t>
  </si>
  <si>
    <t>August statement</t>
  </si>
  <si>
    <t>September statement</t>
  </si>
  <si>
    <t>By Kathy &amp; Gary Anderson rem Barb Tuttle</t>
  </si>
  <si>
    <t>Memorials for Ken Fehl (tab attatched)</t>
  </si>
  <si>
    <t>Name</t>
  </si>
  <si>
    <t>Address</t>
  </si>
  <si>
    <t>Amount</t>
  </si>
  <si>
    <t>Grace/Harold Holm</t>
  </si>
  <si>
    <t>9439 Luanne Drive, Racine, WI 53406</t>
  </si>
  <si>
    <t>Kirsten/Jay Weiss</t>
  </si>
  <si>
    <t>4818 Bluebird Lane, Racine, WI 53406</t>
  </si>
  <si>
    <t>Gerry/Neal Nottleson</t>
  </si>
  <si>
    <t>3900 N. Main Street, Apt. 219, Racine, WI 53402</t>
  </si>
  <si>
    <t>Nancy/Jeff Haman</t>
  </si>
  <si>
    <t>209 Thorn Street, Apt. 3, Sturgeon Bay, WI 54235</t>
  </si>
  <si>
    <t>Lori/David Wernicke</t>
  </si>
  <si>
    <t>243 Blaine Avenue, Racine, WI 53405</t>
  </si>
  <si>
    <t>Marilyn/Joseph Kiemen</t>
  </si>
  <si>
    <t>4800 Ridfeway Avenue, Racine, WI 53406</t>
  </si>
  <si>
    <t>Jacki Kirt</t>
  </si>
  <si>
    <t>1101 Augusta Street, Racine, WI 53402</t>
  </si>
  <si>
    <t>Starr Cannon</t>
  </si>
  <si>
    <t>404 Quail Point Drive, Mt. Pleasant, WI 53406</t>
  </si>
  <si>
    <t>Mary Ann/Joh Mantey</t>
  </si>
  <si>
    <t>4512 Thomas Street, Racine, WI 53405</t>
  </si>
  <si>
    <t>Carol Swiden</t>
  </si>
  <si>
    <t>5835 Potomac Place, Mt. Pleasant, WI 53406</t>
  </si>
  <si>
    <t>Christine Miller</t>
  </si>
  <si>
    <t>2121 Waukesha Road, Caledonia, WI 53108</t>
  </si>
  <si>
    <t>Mary/Thomas Hauch</t>
  </si>
  <si>
    <t>5919 Emstan Hills Road, Mt. Pleasant, WI 53406</t>
  </si>
  <si>
    <t>David Nielsen</t>
  </si>
  <si>
    <t>3038 Pritchard Drive, Mt. Pleasant, WI 53406</t>
  </si>
  <si>
    <t>Margaret/Don Klopp</t>
  </si>
  <si>
    <t>5312 Highwood Drive, Racine, WI 53406</t>
  </si>
  <si>
    <t>Kathy/Gary Anderson</t>
  </si>
  <si>
    <t>3635 Monica Drive, Franksville, WI 53126</t>
  </si>
  <si>
    <t>Dwayne Olsen</t>
  </si>
  <si>
    <t>13810 Shepherds Path NW, Apt. 340, Prior Lake, MN 55379</t>
  </si>
  <si>
    <t>Jan Koechell</t>
  </si>
  <si>
    <t>4907 Westway Avenue, Racine, WI 53406</t>
  </si>
  <si>
    <t>Leah Krueger</t>
  </si>
  <si>
    <t>1075 E. Twin Oaks Drive, Oak Creek, WI 53154</t>
  </si>
  <si>
    <t>Sandy/Jim Georgeson</t>
  </si>
  <si>
    <t>5128 Cynthia Lane, Mt. Pleasant, WI 53406</t>
  </si>
  <si>
    <t>Barb/Charles Vallone</t>
  </si>
  <si>
    <t>5734 San Dell Way, Racine, WI 53402</t>
  </si>
  <si>
    <t>Lois Pedersen</t>
  </si>
  <si>
    <t>14138 - 141st Street W, Apple Valley, MN 55124</t>
  </si>
  <si>
    <t>Anna Poh</t>
  </si>
  <si>
    <t>1401 S. Clay Street, Gren Bay, WI 54301</t>
  </si>
  <si>
    <t>Antoinette Lawson</t>
  </si>
  <si>
    <t>1227 Division Street, Green Bay, WI 54303</t>
  </si>
  <si>
    <t>Laura/Robert Stevens</t>
  </si>
  <si>
    <t>5724 San Dell Way, Racine, WI 53402</t>
  </si>
  <si>
    <t>Diane Billmyer</t>
  </si>
  <si>
    <t>1540 Raintree Lane, Unit 125, Racine, WI 53406</t>
  </si>
  <si>
    <t>Crystal Gillmore</t>
  </si>
  <si>
    <t>1276 Village Centre Drive, Unit 3, Kenosha WI 53144</t>
  </si>
  <si>
    <t>Nancy Ervin</t>
  </si>
  <si>
    <t>3900 N. Main Street, Apt. 223, Racine, WI 53402</t>
  </si>
  <si>
    <t>M.  Christine Noseworthy</t>
  </si>
  <si>
    <t>6609 W. Arthur Avenue, West Allis, WI 53219</t>
  </si>
  <si>
    <t>Geraldine W. Baumblatt</t>
  </si>
  <si>
    <t>3900 N. Main Street, Apt. 208, Raicne, Wi 53402</t>
  </si>
  <si>
    <t>Tc/James Wiley(The Wednesday Wannabes)</t>
  </si>
  <si>
    <t>352 Quail Point Drive, Mt. Pleasant, WI 53406</t>
  </si>
  <si>
    <t>Arliss Stockdale</t>
  </si>
  <si>
    <t>2018 Polk Drive, Ames, IA 50010</t>
  </si>
  <si>
    <t>Paul Anderson</t>
  </si>
  <si>
    <t>6626 Cuming Street, Omaha, NE 68132</t>
  </si>
  <si>
    <t>Judy Larson</t>
  </si>
  <si>
    <t>18 Virginia Street, Racine, WI 53405</t>
  </si>
  <si>
    <t>Cash</t>
  </si>
  <si>
    <t>Checks</t>
  </si>
  <si>
    <t>October statement</t>
  </si>
  <si>
    <t>December statement</t>
  </si>
  <si>
    <t>November statement</t>
  </si>
  <si>
    <t>% Return:</t>
  </si>
  <si>
    <t>* Racine Community Foundation not reported until March</t>
  </si>
  <si>
    <t>Qtr Return</t>
  </si>
  <si>
    <t>% of Rolling Average for' Prudent Spendable':</t>
  </si>
  <si>
    <t># of Quarrters to Average for 'Prudent Spendable':</t>
  </si>
  <si>
    <t>Year End, 2023</t>
  </si>
  <si>
    <t>15% Reserve (of available funds)</t>
  </si>
  <si>
    <t>Reasonable &amp; Prudent Annual Spendable (4.0% of Rolling 20 qtrs Avg Total Assets)</t>
  </si>
  <si>
    <t>YTD Total Return: 10.6%</t>
  </si>
  <si>
    <t>Change in Investment Value (Net)</t>
  </si>
  <si>
    <t>Month Return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</si>
</sst>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_);\(#,##0.000000000000000\)"/>
    <numFmt numFmtId="166" formatCode="0.0%"/>
  </numFmts>
  <fonts count="3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1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horizontal="center" vertical="top"/>
    </xf>
    <xf numFmtId="14" fontId="8" fillId="0" borderId="2" xfId="0" applyNumberFormat="1" applyFont="1" applyFill="1" applyBorder="1" applyAlignment="1">
      <alignment horizontal="center" vertical="top"/>
    </xf>
    <xf numFmtId="0" fontId="17" fillId="0" borderId="2" xfId="0" applyNumberFormat="1" applyFont="1" applyFill="1" applyBorder="1" applyAlignment="1">
      <alignment horizontal="center" vertical="top"/>
    </xf>
    <xf numFmtId="0" fontId="8" fillId="0" borderId="2" xfId="0" quotePrefix="1" applyNumberFormat="1" applyFont="1" applyFill="1" applyBorder="1" applyAlignment="1">
      <alignment horizontal="center" vertical="top"/>
    </xf>
    <xf numFmtId="14" fontId="17" fillId="0" borderId="2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center" vertical="top"/>
    </xf>
    <xf numFmtId="4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7" fillId="0" borderId="0" xfId="0" quotePrefix="1" applyFont="1" applyFill="1" applyBorder="1"/>
    <xf numFmtId="43" fontId="7" fillId="0" borderId="0" xfId="10" applyFont="1" applyFill="1" applyBorder="1"/>
    <xf numFmtId="0" fontId="6" fillId="0" borderId="0" xfId="0" applyFont="1" applyFill="1" applyBorder="1" applyAlignment="1">
      <alignment horizontal="right"/>
    </xf>
    <xf numFmtId="43" fontId="7" fillId="0" borderId="0" xfId="0" applyNumberFormat="1" applyFont="1" applyFill="1" applyBorder="1"/>
    <xf numFmtId="0" fontId="28" fillId="0" borderId="0" xfId="0" applyFont="1" applyBorder="1" applyAlignment="1">
      <alignment vertical="top"/>
    </xf>
    <xf numFmtId="0" fontId="7" fillId="0" borderId="0" xfId="0" quotePrefix="1" applyFont="1" applyAlignment="1">
      <alignment horizontal="left" vertical="center"/>
    </xf>
    <xf numFmtId="14" fontId="32" fillId="0" borderId="2" xfId="0" applyNumberFormat="1" applyFont="1" applyFill="1" applyBorder="1" applyAlignment="1">
      <alignment horizontal="center" vertical="top"/>
    </xf>
    <xf numFmtId="0" fontId="7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3" fontId="7" fillId="0" borderId="0" xfId="0" applyNumberFormat="1" applyFont="1" applyFill="1" applyBorder="1" applyAlignment="1">
      <alignment horizontal="right"/>
    </xf>
    <xf numFmtId="43" fontId="6" fillId="0" borderId="0" xfId="0" applyNumberFormat="1" applyFont="1" applyFill="1" applyBorder="1"/>
    <xf numFmtId="0" fontId="6" fillId="0" borderId="0" xfId="0" quotePrefix="1" applyFont="1" applyFill="1" applyBorder="1"/>
    <xf numFmtId="0" fontId="7" fillId="0" borderId="0" xfId="0" applyFont="1" applyFill="1" applyBorder="1" applyAlignment="1">
      <alignment horizontal="right"/>
    </xf>
    <xf numFmtId="0" fontId="1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44" fontId="7" fillId="0" borderId="0" xfId="1" quotePrefix="1" applyFont="1" applyBorder="1" applyAlignment="1">
      <alignment vertical="center"/>
    </xf>
    <xf numFmtId="44" fontId="7" fillId="0" borderId="0" xfId="0" quotePrefix="1" applyNumberFormat="1" applyFont="1" applyBorder="1" applyAlignment="1">
      <alignment vertical="center"/>
    </xf>
    <xf numFmtId="0" fontId="7" fillId="0" borderId="30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6" fillId="0" borderId="52" xfId="0" applyFont="1" applyBorder="1" applyAlignment="1">
      <alignment horizontal="center" wrapText="1"/>
    </xf>
    <xf numFmtId="44" fontId="7" fillId="0" borderId="53" xfId="1" quotePrefix="1" applyFont="1" applyBorder="1" applyAlignment="1">
      <alignment vertical="center"/>
    </xf>
    <xf numFmtId="44" fontId="7" fillId="0" borderId="53" xfId="0" applyNumberFormat="1" applyFont="1" applyBorder="1" applyAlignment="1">
      <alignment vertical="center"/>
    </xf>
    <xf numFmtId="44" fontId="7" fillId="0" borderId="52" xfId="0" applyNumberFormat="1" applyFont="1" applyBorder="1" applyAlignment="1">
      <alignment vertical="center"/>
    </xf>
    <xf numFmtId="44" fontId="6" fillId="0" borderId="53" xfId="1" applyFont="1" applyBorder="1" applyAlignment="1">
      <alignment vertical="center"/>
    </xf>
    <xf numFmtId="44" fontId="6" fillId="0" borderId="54" xfId="1" applyFont="1" applyBorder="1" applyAlignment="1">
      <alignment vertical="center"/>
    </xf>
    <xf numFmtId="0" fontId="7" fillId="0" borderId="3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8" xfId="0" applyFont="1" applyFill="1" applyBorder="1" applyAlignment="1">
      <alignment vertical="center"/>
    </xf>
    <xf numFmtId="0" fontId="7" fillId="0" borderId="34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32" xfId="0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 wrapText="1"/>
    </xf>
    <xf numFmtId="44" fontId="7" fillId="0" borderId="53" xfId="1" applyFont="1" applyBorder="1" applyAlignment="1">
      <alignment vertical="center"/>
    </xf>
    <xf numFmtId="44" fontId="6" fillId="0" borderId="54" xfId="0" applyNumberFormat="1" applyFont="1" applyBorder="1" applyAlignment="1">
      <alignment vertical="center"/>
    </xf>
    <xf numFmtId="44" fontId="7" fillId="0" borderId="53" xfId="0" applyNumberFormat="1" applyFont="1" applyFill="1" applyBorder="1" applyAlignment="1">
      <alignment vertical="center"/>
    </xf>
    <xf numFmtId="0" fontId="7" fillId="0" borderId="53" xfId="0" applyFont="1" applyFill="1" applyBorder="1" applyAlignment="1">
      <alignment horizontal="center" vertical="center" wrapText="1"/>
    </xf>
    <xf numFmtId="44" fontId="6" fillId="0" borderId="53" xfId="0" applyNumberFormat="1" applyFont="1" applyBorder="1" applyAlignment="1">
      <alignment vertical="center"/>
    </xf>
    <xf numFmtId="44" fontId="21" fillId="0" borderId="28" xfId="0" applyNumberFormat="1" applyFont="1" applyFill="1" applyBorder="1" applyAlignment="1">
      <alignment horizontal="right" vertical="center"/>
    </xf>
    <xf numFmtId="44" fontId="6" fillId="0" borderId="34" xfId="0" applyNumberFormat="1" applyFont="1" applyFill="1" applyBorder="1" applyAlignment="1">
      <alignment vertical="center"/>
    </xf>
    <xf numFmtId="164" fontId="31" fillId="0" borderId="0" xfId="0" applyNumberFormat="1" applyFont="1"/>
    <xf numFmtId="0" fontId="0" fillId="0" borderId="46" xfId="0" applyBorder="1"/>
    <xf numFmtId="164" fontId="0" fillId="0" borderId="46" xfId="0" applyNumberFormat="1" applyBorder="1"/>
    <xf numFmtId="164" fontId="0" fillId="0" borderId="55" xfId="0" applyNumberFormat="1" applyBorder="1"/>
    <xf numFmtId="0" fontId="33" fillId="0" borderId="0" xfId="0" applyFont="1"/>
    <xf numFmtId="0" fontId="33" fillId="0" borderId="0" xfId="0" applyFont="1" applyAlignment="1">
      <alignment horizontal="right"/>
    </xf>
    <xf numFmtId="43" fontId="7" fillId="0" borderId="0" xfId="0" applyNumberFormat="1" applyFont="1" applyFill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8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10" fontId="7" fillId="0" borderId="28" xfId="11" applyNumberFormat="1" applyFont="1" applyBorder="1" applyAlignment="1">
      <alignment vertical="center"/>
    </xf>
    <xf numFmtId="10" fontId="17" fillId="4" borderId="17" xfId="11" applyNumberFormat="1" applyFont="1" applyFill="1" applyBorder="1" applyAlignment="1">
      <alignment horizontal="left" vertical="center"/>
    </xf>
    <xf numFmtId="0" fontId="32" fillId="4" borderId="17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vertical="center"/>
    </xf>
    <xf numFmtId="44" fontId="6" fillId="0" borderId="26" xfId="0" applyNumberFormat="1" applyFont="1" applyBorder="1" applyAlignment="1">
      <alignment vertical="center"/>
    </xf>
    <xf numFmtId="10" fontId="7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0" fontId="13" fillId="0" borderId="0" xfId="11" quotePrefix="1" applyNumberFormat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166" fontId="7" fillId="0" borderId="0" xfId="11" applyNumberFormat="1" applyFont="1" applyFill="1" applyBorder="1" applyAlignment="1">
      <alignment vertical="center"/>
    </xf>
    <xf numFmtId="166" fontId="7" fillId="0" borderId="0" xfId="11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166" fontId="7" fillId="0" borderId="53" xfId="11" applyNumberFormat="1" applyFont="1" applyFill="1" applyBorder="1" applyAlignment="1">
      <alignment vertical="center"/>
    </xf>
    <xf numFmtId="44" fontId="6" fillId="0" borderId="28" xfId="0" applyNumberFormat="1" applyFont="1" applyBorder="1" applyAlignment="1">
      <alignment vertical="top"/>
    </xf>
    <xf numFmtId="44" fontId="6" fillId="0" borderId="26" xfId="0" applyNumberFormat="1" applyFont="1" applyBorder="1" applyAlignment="1">
      <alignment horizontal="left" vertical="top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1" fillId="0" borderId="31" xfId="0" applyFont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2">
    <cellStyle name="Comma" xfId="10" builtinId="3"/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  <cellStyle name="Percent" xfId="11" builtinId="5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FF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Asset_Accounts" displayName="Asset_Accounts" ref="B4:C7" totalsRowShown="0">
  <autoFilter ref="B4:C7"/>
  <tableColumns count="2">
    <tableColumn id="1" name="Bank Code" dataDxfId="3"/>
    <tableColumn id="2" name="Bank Name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I_E_Accounts" displayName="I_E_Accounts" ref="B11:C20" totalsRowShown="0">
  <autoFilter ref="B11:C20"/>
  <tableColumns count="2">
    <tableColumn id="1" name="Code" dataDxfId="1"/>
    <tableColumn id="2" name="4000:  Income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230"/>
  <sheetViews>
    <sheetView showGridLines="0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23" ht="6" customHeight="1" x14ac:dyDescent="0.25"/>
    <row r="2" spans="1:23" ht="20.25" x14ac:dyDescent="0.25">
      <c r="A2" s="225" t="s">
        <v>70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23" ht="20.25" x14ac:dyDescent="0.25">
      <c r="A3" s="225" t="s">
        <v>71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23" ht="20.25" x14ac:dyDescent="0.25">
      <c r="A4" s="225" t="str">
        <f>VLOOKUP(CurrQtr,LKQtr,5)&amp;", "&amp;CurrentYr</f>
        <v>4th Quarter, 2023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91"/>
    </row>
    <row r="5" spans="1:23" ht="9.9499999999999993" customHeight="1" thickBot="1" x14ac:dyDescent="0.3">
      <c r="G5" s="17"/>
      <c r="H5" s="17"/>
      <c r="I5" s="17"/>
      <c r="J5" s="17"/>
      <c r="K5" s="17"/>
    </row>
    <row r="6" spans="1:23" ht="6.6" customHeight="1" thickTop="1" x14ac:dyDescent="0.25">
      <c r="A6" s="24"/>
      <c r="B6" s="25"/>
      <c r="C6" s="25"/>
      <c r="D6" s="25"/>
      <c r="E6" s="25"/>
      <c r="F6" s="25"/>
      <c r="G6" s="117"/>
      <c r="H6" s="117"/>
      <c r="I6" s="117"/>
      <c r="J6" s="117"/>
      <c r="K6" s="117"/>
      <c r="L6" s="26"/>
      <c r="M6"/>
      <c r="N6"/>
      <c r="O6"/>
      <c r="P6"/>
      <c r="Q6"/>
      <c r="R6"/>
      <c r="S6"/>
      <c r="T6"/>
      <c r="U6"/>
      <c r="V6"/>
      <c r="W6"/>
    </row>
    <row r="7" spans="1:23" ht="47.25" x14ac:dyDescent="0.25">
      <c r="A7" s="28"/>
      <c r="B7" s="98" t="s">
        <v>32</v>
      </c>
      <c r="E7" s="97" t="s">
        <v>62</v>
      </c>
      <c r="G7" s="97" t="str">
        <f>VLOOKUP(CurrQtr,LKQtr,2)</f>
        <v>October</v>
      </c>
      <c r="H7" s="17"/>
      <c r="I7" s="97" t="str">
        <f>VLOOKUP(CurrQtr,LKQtr,3)</f>
        <v>November</v>
      </c>
      <c r="J7" s="17"/>
      <c r="K7" s="97" t="str">
        <f>VLOOKUP(CurrQtr,LKQtr,4)&amp;" (Quarter End Balance)"</f>
        <v>December (Quarter End Balance)</v>
      </c>
      <c r="L7" s="27"/>
      <c r="M7"/>
      <c r="N7"/>
      <c r="O7"/>
      <c r="P7"/>
      <c r="Q7"/>
      <c r="R7"/>
      <c r="S7"/>
      <c r="T7"/>
      <c r="U7"/>
      <c r="V7"/>
      <c r="W7"/>
    </row>
    <row r="8" spans="1:23" x14ac:dyDescent="0.25">
      <c r="A8" s="28"/>
      <c r="B8" s="93">
        <v>1000</v>
      </c>
      <c r="C8" s="17" t="str">
        <f>IF(B8="","",VLOOKUP(B8,Chart,2))</f>
        <v>Fidelity Investments</v>
      </c>
      <c r="E8" s="19">
        <f>VLOOKUP(IF(CurrQtr=1,0,IF(CurrQtr=2,3,IF(CurrQtr=3,6,9))),BankAccounts,4)</f>
        <v>171833.13999999998</v>
      </c>
      <c r="G8" s="19">
        <f>VLOOKUP(IF(CurrQtr=1,1,IF(CurrQtr=2,4,IF(CurrQtr=3,7,10))),BankAccounts,4)</f>
        <v>167630.21</v>
      </c>
      <c r="H8" s="17"/>
      <c r="I8" s="19">
        <f>VLOOKUP(IF(CurrQtr=1,2,IF(CurrQtr=2,5,IF(CurrQtr=3,8,11))),BankAccounts,4)</f>
        <v>180950.38</v>
      </c>
      <c r="J8" s="17"/>
      <c r="K8" s="19">
        <f>VLOOKUP(IF(CurrQtr=1,3,IF(CurrQtr=2,6,IF(CurrQtr=3,9,12))),BankAccounts,4)</f>
        <v>189517.57</v>
      </c>
      <c r="L8" s="27"/>
      <c r="M8"/>
      <c r="N8"/>
      <c r="O8"/>
      <c r="P8"/>
      <c r="Q8"/>
      <c r="R8"/>
      <c r="S8"/>
      <c r="T8"/>
      <c r="U8"/>
      <c r="V8"/>
      <c r="W8"/>
    </row>
    <row r="9" spans="1:23" x14ac:dyDescent="0.25">
      <c r="A9" s="28"/>
      <c r="B9" s="93">
        <v>1020</v>
      </c>
      <c r="C9" s="17" t="str">
        <f>IF(B9="","",VLOOKUP(B9,Chart,2))&amp;"*"</f>
        <v>Racine Community Foundation*</v>
      </c>
      <c r="E9" s="19">
        <f>VLOOKUP(IF(CurrQtr=1,0,IF(CurrQtr=2,3,IF(CurrQtr=3,6,9))),BankAccounts,7)</f>
        <v>28937.54</v>
      </c>
      <c r="G9" s="19">
        <f>VLOOKUP(IF(CurrQtr=1,1,IF(CurrQtr=2,4,IF(CurrQtr=3,7,10))),BankAccounts,7)</f>
        <v>28937.54</v>
      </c>
      <c r="H9" s="17"/>
      <c r="I9" s="19">
        <f>VLOOKUP(IF(CurrQtr=1,2,IF(CurrQtr=2,5,IF(CurrQtr=3,8,11))),BankAccounts,7)</f>
        <v>28937.54</v>
      </c>
      <c r="J9" s="17"/>
      <c r="K9" s="19">
        <f>VLOOKUP(IF(CurrQtr=1,3,IF(CurrQtr=2,6,IF(CurrQtr=3,9,12))),BankAccounts,7)</f>
        <v>28937.54</v>
      </c>
      <c r="L9" s="27"/>
      <c r="M9"/>
      <c r="N9"/>
      <c r="O9"/>
      <c r="P9"/>
      <c r="Q9"/>
      <c r="R9"/>
      <c r="S9"/>
      <c r="T9"/>
      <c r="U9"/>
      <c r="V9"/>
      <c r="W9"/>
    </row>
    <row r="10" spans="1:23" ht="16.5" thickBot="1" x14ac:dyDescent="0.3">
      <c r="A10" s="28"/>
      <c r="B10" s="43" t="s">
        <v>31</v>
      </c>
      <c r="C10" s="43"/>
      <c r="D10" s="43"/>
      <c r="E10" s="62">
        <f>SUM(E8:E9)</f>
        <v>200770.68</v>
      </c>
      <c r="F10" s="43"/>
      <c r="G10" s="62">
        <f>SUM(G8:G9)</f>
        <v>196567.75</v>
      </c>
      <c r="H10" s="17"/>
      <c r="I10" s="62">
        <f>SUM(I8:I9)</f>
        <v>209887.92</v>
      </c>
      <c r="J10" s="17"/>
      <c r="K10" s="62">
        <f>SUM(K8:K9)</f>
        <v>218455.11000000002</v>
      </c>
      <c r="L10" s="27"/>
      <c r="M10"/>
      <c r="N10"/>
      <c r="O10"/>
      <c r="P10"/>
      <c r="Q10"/>
      <c r="R10"/>
      <c r="S10"/>
      <c r="T10"/>
      <c r="U10"/>
      <c r="V10"/>
      <c r="W10"/>
    </row>
    <row r="11" spans="1:23" ht="16.5" hidden="1" thickTop="1" x14ac:dyDescent="0.25">
      <c r="A11" s="28"/>
      <c r="E11" s="20"/>
      <c r="G11" s="97" t="str">
        <f>VLOOKUP(CurrQtr,LKQtr,2)</f>
        <v>October</v>
      </c>
      <c r="H11" s="17"/>
      <c r="I11" s="97" t="str">
        <f>VLOOKUP(CurrQtr,LKQtr,2)</f>
        <v>October</v>
      </c>
      <c r="J11" s="17"/>
      <c r="K11" s="97" t="str">
        <f>VLOOKUP(CurrQtr,LKQtr,2)</f>
        <v>October</v>
      </c>
      <c r="L11" s="27"/>
      <c r="M11"/>
      <c r="N11"/>
      <c r="O11"/>
      <c r="P11"/>
      <c r="Q11"/>
      <c r="R11"/>
      <c r="S11"/>
      <c r="T11"/>
      <c r="U11"/>
      <c r="V11"/>
      <c r="W11"/>
    </row>
    <row r="12" spans="1:23" ht="16.5" thickTop="1" x14ac:dyDescent="0.25">
      <c r="A12" s="28"/>
      <c r="B12" s="43"/>
      <c r="C12" s="18" t="s">
        <v>257</v>
      </c>
      <c r="D12" s="43"/>
      <c r="E12" s="216"/>
      <c r="F12" s="43"/>
      <c r="G12" s="218">
        <f>1-($E$10/($G$10-E25))</f>
        <v>-2.1511503222581219E-2</v>
      </c>
      <c r="H12" s="218"/>
      <c r="I12" s="218">
        <f>1-($G$10/($I$10-G25))</f>
        <v>5.4776058656200055E-2</v>
      </c>
      <c r="J12" s="218"/>
      <c r="K12" s="218">
        <f>1-($E$10/($K$10-K25))</f>
        <v>7.2657502772156768E-2</v>
      </c>
      <c r="L12" s="27"/>
      <c r="M12"/>
      <c r="N12"/>
      <c r="O12"/>
      <c r="P12"/>
      <c r="Q12"/>
      <c r="R12"/>
      <c r="S12"/>
      <c r="T12"/>
      <c r="U12"/>
      <c r="V12"/>
      <c r="W12"/>
    </row>
    <row r="13" spans="1:23" ht="3.95" customHeight="1" x14ac:dyDescent="0.25">
      <c r="A13" s="28"/>
      <c r="E13" s="20"/>
      <c r="G13" s="20"/>
      <c r="H13" s="17"/>
      <c r="I13" s="17"/>
      <c r="J13" s="17"/>
      <c r="K13" s="92"/>
      <c r="L13" s="27"/>
      <c r="M13"/>
      <c r="N13"/>
      <c r="O13"/>
      <c r="P13"/>
      <c r="Q13"/>
      <c r="R13"/>
      <c r="S13"/>
      <c r="T13"/>
      <c r="U13"/>
      <c r="V13"/>
      <c r="W13"/>
    </row>
    <row r="14" spans="1:23" x14ac:dyDescent="0.25">
      <c r="A14" s="28"/>
      <c r="B14" s="18" t="s">
        <v>75</v>
      </c>
      <c r="E14" s="20"/>
      <c r="G14" s="20"/>
      <c r="H14" s="17"/>
      <c r="I14" s="17"/>
      <c r="J14" s="17"/>
      <c r="K14" s="23"/>
      <c r="L14" s="27"/>
      <c r="M14"/>
      <c r="N14"/>
      <c r="O14"/>
      <c r="P14"/>
      <c r="Q14"/>
      <c r="R14"/>
      <c r="S14"/>
      <c r="T14"/>
      <c r="U14"/>
      <c r="V14"/>
      <c r="W14"/>
    </row>
    <row r="15" spans="1:23" x14ac:dyDescent="0.25">
      <c r="A15" s="28"/>
      <c r="C15" s="18" t="s">
        <v>69</v>
      </c>
      <c r="E15" s="19">
        <f>VLOOKUP(IF(CurrQtr=1,0,IF(CurrQtr=2,3,IF(CurrQtr=3,6,9))),BankAccounts,11)</f>
        <v>133323.65</v>
      </c>
      <c r="G15" s="19">
        <f>VLOOKUP(IF(CurrQtr=1,1,IF(CurrQtr=2,4,IF(CurrQtr=3,7,10))),BankAccounts,11)</f>
        <v>133348.65</v>
      </c>
      <c r="H15" s="17"/>
      <c r="I15" s="19">
        <f>VLOOKUP(IF(CurrQtr=1,2,IF(CurrQtr=2,5,IF(CurrQtr=3,8,11))),BankAccounts,11)</f>
        <v>135277.65</v>
      </c>
      <c r="J15" s="17"/>
      <c r="K15" s="19">
        <f>VLOOKUP(IF(CurrQtr=1,3,IF(CurrQtr=2,6,IF(CurrQtr=3,9,12))),BankAccounts,11)</f>
        <v>135277.65</v>
      </c>
      <c r="L15" s="27"/>
      <c r="M15"/>
      <c r="N15"/>
      <c r="O15"/>
      <c r="P15"/>
      <c r="Q15"/>
      <c r="R15"/>
      <c r="S15"/>
      <c r="T15"/>
      <c r="U15"/>
      <c r="V15"/>
      <c r="W15"/>
    </row>
    <row r="16" spans="1:23" x14ac:dyDescent="0.25">
      <c r="A16" s="28"/>
      <c r="C16" s="18" t="s">
        <v>142</v>
      </c>
      <c r="E16" s="20">
        <f>+E10-E15</f>
        <v>67447.03</v>
      </c>
      <c r="F16" s="20">
        <f t="shared" ref="F16:K16" si="0">+F10-F15</f>
        <v>0</v>
      </c>
      <c r="G16" s="20">
        <f t="shared" si="0"/>
        <v>63219.100000000006</v>
      </c>
      <c r="H16" s="20">
        <f t="shared" si="0"/>
        <v>0</v>
      </c>
      <c r="I16" s="20">
        <f t="shared" si="0"/>
        <v>74610.270000000019</v>
      </c>
      <c r="J16" s="20">
        <f t="shared" si="0"/>
        <v>0</v>
      </c>
      <c r="K16" s="20">
        <f t="shared" si="0"/>
        <v>83177.460000000021</v>
      </c>
      <c r="L16" s="27"/>
      <c r="M16"/>
      <c r="N16"/>
      <c r="O16"/>
      <c r="P16"/>
      <c r="Q16"/>
      <c r="R16"/>
      <c r="S16"/>
      <c r="T16"/>
      <c r="U16"/>
      <c r="V16"/>
      <c r="W16"/>
    </row>
    <row r="17" spans="1:23" x14ac:dyDescent="0.25">
      <c r="A17" s="28"/>
      <c r="B17" s="116"/>
      <c r="C17" s="18" t="str">
        <f>Reserve*100&amp;"% Reserve (of available funds)"</f>
        <v>15% Reserve (of available funds)</v>
      </c>
      <c r="E17" s="20">
        <f t="shared" ref="E17:K17" si="1">+E16*Reserve</f>
        <v>10117.0545</v>
      </c>
      <c r="F17" s="20">
        <f t="shared" si="1"/>
        <v>0</v>
      </c>
      <c r="G17" s="20">
        <f t="shared" si="1"/>
        <v>9482.8649999999998</v>
      </c>
      <c r="H17" s="20">
        <f t="shared" si="1"/>
        <v>0</v>
      </c>
      <c r="I17" s="20">
        <f t="shared" si="1"/>
        <v>11191.540500000003</v>
      </c>
      <c r="J17" s="20">
        <f t="shared" si="1"/>
        <v>0</v>
      </c>
      <c r="K17" s="20">
        <f t="shared" si="1"/>
        <v>12476.619000000002</v>
      </c>
      <c r="L17" s="27"/>
      <c r="M17"/>
      <c r="N17"/>
      <c r="O17"/>
      <c r="P17"/>
      <c r="Q17"/>
      <c r="R17"/>
      <c r="S17"/>
      <c r="T17"/>
      <c r="U17"/>
      <c r="V17"/>
      <c r="W17"/>
    </row>
    <row r="18" spans="1:23" ht="16.5" thickBot="1" x14ac:dyDescent="0.3">
      <c r="A18" s="28"/>
      <c r="B18" s="43" t="s">
        <v>77</v>
      </c>
      <c r="C18" s="43"/>
      <c r="D18" s="43"/>
      <c r="E18" s="62">
        <f>+E16-E17</f>
        <v>57329.9755</v>
      </c>
      <c r="F18" s="62">
        <f t="shared" ref="F18:K18" si="2">+F16-F17</f>
        <v>0</v>
      </c>
      <c r="G18" s="62">
        <f t="shared" si="2"/>
        <v>53736.235000000008</v>
      </c>
      <c r="H18" s="62">
        <f t="shared" si="2"/>
        <v>0</v>
      </c>
      <c r="I18" s="62">
        <f t="shared" si="2"/>
        <v>63418.729500000016</v>
      </c>
      <c r="J18" s="62">
        <f t="shared" si="2"/>
        <v>0</v>
      </c>
      <c r="K18" s="62">
        <f t="shared" si="2"/>
        <v>70700.841000000015</v>
      </c>
      <c r="L18" s="27"/>
      <c r="M18"/>
      <c r="N18"/>
      <c r="O18"/>
      <c r="P18"/>
      <c r="Q18"/>
      <c r="R18"/>
      <c r="S18"/>
      <c r="T18"/>
      <c r="U18"/>
      <c r="V18"/>
      <c r="W18"/>
    </row>
    <row r="19" spans="1:23" ht="16.5" thickTop="1" x14ac:dyDescent="0.25">
      <c r="A19" s="28"/>
      <c r="B19" s="43"/>
      <c r="C19" s="160" t="s">
        <v>141</v>
      </c>
      <c r="D19" s="43"/>
      <c r="E19" s="120"/>
      <c r="F19" s="120"/>
      <c r="G19" s="120"/>
      <c r="H19" s="120"/>
      <c r="I19" s="120"/>
      <c r="J19" s="120"/>
      <c r="K19" s="120"/>
      <c r="L19" s="27"/>
      <c r="M19"/>
      <c r="N19"/>
      <c r="O19"/>
      <c r="P19"/>
      <c r="Q19"/>
      <c r="R19"/>
      <c r="S19"/>
      <c r="T19"/>
      <c r="U19"/>
      <c r="V19"/>
      <c r="W19"/>
    </row>
    <row r="20" spans="1:23" ht="15.75" x14ac:dyDescent="0.25">
      <c r="A20" s="28"/>
      <c r="B20" s="215" t="str">
        <f>"Reasonable &amp; Prudent Annual Spendable ("&amp;QtrTitle &amp; ")"</f>
        <v>Reasonable &amp; Prudent Annual Spendable (4.0% of Rolling 20 qtrs Avg Total Assets)</v>
      </c>
      <c r="C20" s="121"/>
      <c r="D20" s="43"/>
      <c r="E20" s="120"/>
      <c r="F20" s="120"/>
      <c r="G20" s="120"/>
      <c r="H20" s="120"/>
      <c r="I20" s="120"/>
      <c r="J20" s="120"/>
      <c r="K20" s="120">
        <f ca="1">QtrRollingAvgPct</f>
        <v>7506.7700399999994</v>
      </c>
      <c r="L20" s="27"/>
      <c r="M20"/>
      <c r="N20"/>
      <c r="O20"/>
      <c r="P20"/>
      <c r="Q20"/>
      <c r="R20"/>
      <c r="S20"/>
      <c r="T20"/>
      <c r="U20"/>
      <c r="V20"/>
      <c r="W20"/>
    </row>
    <row r="21" spans="1:23" ht="17.25" customHeight="1" thickBot="1" x14ac:dyDescent="0.3">
      <c r="A21" s="29"/>
      <c r="B21" s="224" t="str">
        <f ca="1">"YTD Total Return: "&amp;TEXT(1-('Bank Accounts'!$E$8+'Bank Accounts'!$H$8)/(('Bank Accounts'!$E$21+'Bank Accounts'!$H$21)-K25),"0.0%")</f>
        <v>YTD Total Return: 10.6%</v>
      </c>
      <c r="C21" s="213"/>
      <c r="D21" s="30"/>
      <c r="E21" s="88"/>
      <c r="F21" s="30"/>
      <c r="G21" s="88"/>
      <c r="H21" s="33"/>
      <c r="I21" s="212"/>
      <c r="J21" s="33"/>
      <c r="K21" s="118"/>
      <c r="L21" s="32"/>
      <c r="M21"/>
      <c r="N21"/>
      <c r="O21"/>
      <c r="P21"/>
      <c r="Q21"/>
      <c r="R21"/>
      <c r="S21"/>
      <c r="T21"/>
      <c r="U21"/>
      <c r="V21"/>
      <c r="W21"/>
    </row>
    <row r="22" spans="1:23" ht="9.9499999999999993" customHeight="1" thickTop="1" thickBot="1" x14ac:dyDescent="0.3">
      <c r="B22" s="30"/>
      <c r="C22" s="30"/>
      <c r="D22" s="30"/>
      <c r="E22" s="31"/>
      <c r="G22" s="23"/>
      <c r="K22" s="89"/>
      <c r="M22"/>
      <c r="N22"/>
      <c r="O22"/>
      <c r="P22"/>
      <c r="Q22"/>
      <c r="R22"/>
      <c r="S22"/>
      <c r="T22"/>
      <c r="U22"/>
      <c r="V22"/>
      <c r="W22"/>
    </row>
    <row r="23" spans="1:23" ht="22.5" customHeight="1" thickTop="1" x14ac:dyDescent="0.25">
      <c r="A23" s="24"/>
      <c r="B23" s="226" t="s">
        <v>37</v>
      </c>
      <c r="C23" s="226"/>
      <c r="D23" s="226"/>
      <c r="E23" s="226"/>
      <c r="F23" s="226"/>
      <c r="G23" s="226"/>
      <c r="H23" s="226"/>
      <c r="I23" s="226"/>
      <c r="J23" s="226"/>
      <c r="K23" s="226"/>
      <c r="L23" s="26"/>
      <c r="M23"/>
      <c r="N23"/>
      <c r="O23"/>
      <c r="P23"/>
      <c r="Q23"/>
      <c r="R23"/>
      <c r="S23"/>
      <c r="T23"/>
      <c r="U23"/>
      <c r="V23"/>
      <c r="W23"/>
    </row>
    <row r="24" spans="1:23" ht="31.5" x14ac:dyDescent="0.25">
      <c r="A24" s="28"/>
      <c r="B24" s="106" t="s">
        <v>33</v>
      </c>
      <c r="E24" s="227" t="str">
        <f>VLOOKUP(CurrQtr,LKQtr,2)</f>
        <v>October</v>
      </c>
      <c r="F24" s="227"/>
      <c r="G24" s="227" t="str">
        <f>VLOOKUP(CurrQtr,LKQtr,3)</f>
        <v>November</v>
      </c>
      <c r="H24" s="227"/>
      <c r="I24" s="227" t="str">
        <f>VLOOKUP(CurrQtr,LKQtr,4)</f>
        <v>December</v>
      </c>
      <c r="J24" s="227"/>
      <c r="K24" s="67" t="str">
        <f>"Total "&amp;VLOOKUP(CurrQtr,LKQtr,5)</f>
        <v>Total 4th Quarter</v>
      </c>
      <c r="L24" s="27"/>
      <c r="M24"/>
      <c r="N24"/>
      <c r="O24"/>
      <c r="P24"/>
      <c r="Q24"/>
      <c r="R24"/>
      <c r="S24"/>
      <c r="T24"/>
      <c r="U24"/>
      <c r="V24"/>
      <c r="W24"/>
    </row>
    <row r="25" spans="1:23" x14ac:dyDescent="0.25">
      <c r="A25" s="28"/>
      <c r="B25" s="105">
        <v>4000</v>
      </c>
      <c r="C25" s="17" t="str">
        <f>VLOOKUP(B25,Accounts,2)</f>
        <v>Contributions (Principal Increase)</v>
      </c>
      <c r="E25" s="19">
        <f>SUMIFS(SumRevenue,SumMonth,E$24,SumAccount,$B25)</f>
        <v>25</v>
      </c>
      <c r="F25" s="19"/>
      <c r="G25" s="19">
        <f>SUMIFS(SumRevenue,SumMonth,G$24,SumAccount,$B25)</f>
        <v>1929</v>
      </c>
      <c r="H25" s="19"/>
      <c r="I25" s="19">
        <f>SUMIFS(SumRevenue,SumMonth,I$24,SumAccount,$B25)</f>
        <v>0</v>
      </c>
      <c r="J25" s="19"/>
      <c r="K25" s="20">
        <f>SUM(E25:I25)</f>
        <v>1954</v>
      </c>
      <c r="L25" s="27"/>
      <c r="M25"/>
      <c r="N25"/>
      <c r="O25"/>
      <c r="P25"/>
      <c r="Q25"/>
      <c r="R25"/>
      <c r="S25"/>
      <c r="T25"/>
      <c r="U25"/>
      <c r="V25"/>
      <c r="W25"/>
    </row>
    <row r="26" spans="1:23" x14ac:dyDescent="0.25">
      <c r="A26" s="28"/>
      <c r="B26" s="105">
        <v>4010</v>
      </c>
      <c r="C26" s="17" t="str">
        <f>VLOOKUP(B26,Accounts,2)</f>
        <v>Interest</v>
      </c>
      <c r="E26" s="19">
        <f>SUMIFS(SumRevenue,SumMonth,E$24,SumAccount,$B26)</f>
        <v>0</v>
      </c>
      <c r="G26" s="19">
        <f>SUMIFS(SumRevenue,SumMonth,G$24,SumAccount,$B26)</f>
        <v>0</v>
      </c>
      <c r="H26" s="17"/>
      <c r="I26" s="19">
        <f>SUMIFS(SumRevenue,SumMonth,I$24,SumAccount,$B26)</f>
        <v>0</v>
      </c>
      <c r="J26" s="17"/>
      <c r="K26" s="20">
        <f>SUM(E26:I26)</f>
        <v>0</v>
      </c>
      <c r="L26" s="27"/>
      <c r="M26"/>
      <c r="N26"/>
      <c r="O26"/>
      <c r="P26"/>
      <c r="Q26"/>
      <c r="R26"/>
      <c r="S26"/>
      <c r="T26"/>
      <c r="U26"/>
      <c r="V26"/>
      <c r="W26"/>
    </row>
    <row r="27" spans="1:23" x14ac:dyDescent="0.25">
      <c r="A27" s="28"/>
      <c r="B27" s="105">
        <v>4020</v>
      </c>
      <c r="C27" s="17" t="str">
        <f>VLOOKUP(B27,Accounts,2)&amp;" (Net)"</f>
        <v>Change in Investment Value (Net)</v>
      </c>
      <c r="E27" s="107">
        <f>SUMIFS(SumRevenue,SumMonth,E$24,SumAccount,$B27)-SUMIFS(SumExp,SumMonth,E$24,SumAccount,$B27)</f>
        <v>-4227.93</v>
      </c>
      <c r="F27" s="108"/>
      <c r="G27" s="107">
        <f>SUMIFS(SumRevenue,SumMonth,G$24,SumAccount,$B27)-SUMIFS(SumExp,SumMonth,G$24,SumAccount,$B27)</f>
        <v>11391.17</v>
      </c>
      <c r="H27" s="109"/>
      <c r="I27" s="107">
        <f>SUMIFS(SumRevenue,SumMonth,I$24,SumAccount,$B27)-SUMIFS(SumExp,SumMonth,I$24,SumAccount,$B27)</f>
        <v>8567.19</v>
      </c>
      <c r="J27" s="109"/>
      <c r="K27" s="110">
        <f>SUM(E27:I27)</f>
        <v>15730.43</v>
      </c>
      <c r="L27" s="27"/>
      <c r="M27"/>
      <c r="N27"/>
      <c r="O27"/>
      <c r="P27"/>
      <c r="Q27"/>
      <c r="R27"/>
      <c r="S27"/>
      <c r="T27"/>
      <c r="U27"/>
      <c r="V27"/>
      <c r="W27"/>
    </row>
    <row r="28" spans="1:23" ht="20.25" x14ac:dyDescent="0.25">
      <c r="A28" s="28"/>
      <c r="B28" s="43" t="s">
        <v>34</v>
      </c>
      <c r="C28" s="61"/>
      <c r="D28" s="63"/>
      <c r="E28" s="64">
        <f>SUM(E25:E27)</f>
        <v>-4202.93</v>
      </c>
      <c r="F28" s="63"/>
      <c r="G28" s="64">
        <f>SUM(G25:G27)</f>
        <v>13320.17</v>
      </c>
      <c r="H28" s="61"/>
      <c r="I28" s="64">
        <f>SUM(I25:I27)</f>
        <v>8567.19</v>
      </c>
      <c r="J28" s="65"/>
      <c r="K28" s="64">
        <f>SUM(K25:K27)</f>
        <v>17684.43</v>
      </c>
      <c r="L28" s="27"/>
      <c r="M28"/>
      <c r="N28"/>
      <c r="O28"/>
      <c r="P28"/>
      <c r="Q28"/>
      <c r="R28"/>
      <c r="S28"/>
      <c r="T28"/>
      <c r="U28"/>
      <c r="V28"/>
      <c r="W28"/>
    </row>
    <row r="29" spans="1:23" ht="7.5" customHeight="1" x14ac:dyDescent="0.25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  <c r="M29"/>
      <c r="N29"/>
      <c r="O29"/>
      <c r="P29"/>
      <c r="Q29"/>
      <c r="R29"/>
      <c r="S29"/>
      <c r="T29"/>
      <c r="U29"/>
      <c r="V29"/>
      <c r="W29"/>
    </row>
    <row r="30" spans="1:23" ht="17.25" x14ac:dyDescent="0.25">
      <c r="A30" s="28"/>
      <c r="B30" s="43" t="s">
        <v>35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  <c r="M30"/>
      <c r="N30"/>
      <c r="O30"/>
      <c r="P30"/>
      <c r="Q30"/>
      <c r="R30"/>
      <c r="S30"/>
      <c r="T30"/>
      <c r="U30"/>
      <c r="V30"/>
      <c r="W30"/>
    </row>
    <row r="31" spans="1:23" ht="15.6" customHeight="1" x14ac:dyDescent="0.25">
      <c r="A31" s="28"/>
      <c r="B31" s="105">
        <v>5000</v>
      </c>
      <c r="C31" s="17" t="str">
        <f>VLOOKUP(B31,Accounts,2)</f>
        <v>Grants</v>
      </c>
      <c r="E31" s="19">
        <f>SUMIFS(SumExp,SumMonth,E$24,SumAccount,$B31)</f>
        <v>0</v>
      </c>
      <c r="G31" s="19">
        <f>SUMIFS(SumExp,SumMonth,G$24,SumAccount,$B31)</f>
        <v>0</v>
      </c>
      <c r="H31" s="17"/>
      <c r="I31" s="19">
        <f>SUMIFS(SumExp,SumMonth,I$24,SumAccount,$B31)</f>
        <v>0</v>
      </c>
      <c r="J31" s="17"/>
      <c r="K31" s="20">
        <f>SUM(E31:I31)</f>
        <v>0</v>
      </c>
      <c r="L31" s="27"/>
      <c r="M31"/>
      <c r="N31"/>
      <c r="O31"/>
      <c r="P31"/>
      <c r="Q31"/>
      <c r="R31"/>
      <c r="S31"/>
      <c r="T31"/>
      <c r="U31"/>
      <c r="V31"/>
      <c r="W31"/>
    </row>
    <row r="32" spans="1:23" ht="15.6" customHeight="1" x14ac:dyDescent="0.25">
      <c r="A32" s="28"/>
      <c r="B32" s="105">
        <v>5010</v>
      </c>
      <c r="C32" s="17" t="str">
        <f>VLOOKUP(B32,Accounts,2)</f>
        <v>Fund Expenses</v>
      </c>
      <c r="E32" s="19">
        <f>SUMIFS(SumExp,SumMonth,E$24,SumAccount,$B32)</f>
        <v>0</v>
      </c>
      <c r="G32" s="19">
        <f>SUMIFS(SumExp,SumMonth,G$24,SumAccount,$B32)</f>
        <v>0</v>
      </c>
      <c r="H32" s="17"/>
      <c r="I32" s="19">
        <f>SUMIFS(SumExp,SumMonth,I$24,SumAccount,$B32)</f>
        <v>0</v>
      </c>
      <c r="J32" s="17"/>
      <c r="K32" s="20">
        <f>SUM(E32:I32)</f>
        <v>0</v>
      </c>
      <c r="L32" s="27"/>
      <c r="M32"/>
      <c r="N32"/>
      <c r="O32"/>
      <c r="P32"/>
      <c r="Q32"/>
      <c r="R32"/>
      <c r="S32"/>
      <c r="T32"/>
      <c r="U32"/>
      <c r="V32"/>
      <c r="W32"/>
    </row>
    <row r="33" spans="1:23" ht="15.6" customHeight="1" x14ac:dyDescent="0.25">
      <c r="A33" s="28"/>
      <c r="B33" s="105">
        <v>5050</v>
      </c>
      <c r="C33" s="17" t="str">
        <f>VLOOKUP(B33,Accounts,2)</f>
        <v>Reductions to Principal</v>
      </c>
      <c r="E33" s="107">
        <f>SUMIFS(SumExp,SumMonth,E$24,SumAccount,$B33)</f>
        <v>0</v>
      </c>
      <c r="F33" s="108"/>
      <c r="G33" s="107">
        <f>SUMIFS(SumExp,SumMonth,G$24,SumAccount,$B33)</f>
        <v>0</v>
      </c>
      <c r="H33" s="109"/>
      <c r="I33" s="107">
        <f>SUMIFS(SumExp,SumMonth,I$24,SumAccount,$B33)</f>
        <v>0</v>
      </c>
      <c r="J33" s="109"/>
      <c r="K33" s="110">
        <f>SUM(E33:I33)</f>
        <v>0</v>
      </c>
      <c r="L33" s="27"/>
      <c r="M33"/>
      <c r="N33"/>
      <c r="O33"/>
      <c r="P33"/>
      <c r="Q33"/>
      <c r="R33"/>
      <c r="S33"/>
      <c r="T33"/>
      <c r="U33"/>
      <c r="V33"/>
      <c r="W33"/>
    </row>
    <row r="34" spans="1:23" ht="15.6" customHeight="1" x14ac:dyDescent="0.25">
      <c r="A34" s="28"/>
      <c r="B34" s="43" t="s">
        <v>30</v>
      </c>
      <c r="E34" s="64">
        <f>SUM(E31:E33)</f>
        <v>0</v>
      </c>
      <c r="G34" s="64">
        <f>SUM(G31:G33)</f>
        <v>0</v>
      </c>
      <c r="H34" s="61"/>
      <c r="I34" s="64">
        <f>SUM(I31:I33)</f>
        <v>0</v>
      </c>
      <c r="J34" s="65"/>
      <c r="K34" s="64">
        <f>SUM(K31:K33)</f>
        <v>0</v>
      </c>
      <c r="L34" s="27"/>
      <c r="M34"/>
      <c r="N34"/>
      <c r="O34"/>
      <c r="P34"/>
      <c r="Q34"/>
      <c r="R34"/>
      <c r="S34"/>
      <c r="T34"/>
      <c r="U34"/>
      <c r="V34"/>
      <c r="W34"/>
    </row>
    <row r="35" spans="1:23" ht="9" customHeight="1" x14ac:dyDescent="0.25">
      <c r="A35" s="28"/>
      <c r="B35" s="43"/>
      <c r="E35" s="64"/>
      <c r="G35" s="64"/>
      <c r="H35" s="61"/>
      <c r="I35" s="64"/>
      <c r="J35" s="65"/>
      <c r="K35" s="64"/>
      <c r="L35" s="27"/>
      <c r="M35"/>
      <c r="N35"/>
      <c r="O35"/>
      <c r="P35"/>
      <c r="Q35"/>
      <c r="R35"/>
      <c r="S35"/>
      <c r="T35"/>
      <c r="U35"/>
      <c r="V35"/>
      <c r="W35"/>
    </row>
    <row r="36" spans="1:23" ht="15.6" customHeight="1" thickBot="1" x14ac:dyDescent="0.3">
      <c r="A36" s="28"/>
      <c r="B36" s="43" t="s">
        <v>36</v>
      </c>
      <c r="E36" s="66">
        <f>+E28-E34</f>
        <v>-4202.93</v>
      </c>
      <c r="G36" s="66">
        <f>+G28-G34</f>
        <v>13320.17</v>
      </c>
      <c r="H36" s="61"/>
      <c r="I36" s="66">
        <f>+I28-I34</f>
        <v>8567.19</v>
      </c>
      <c r="J36" s="65"/>
      <c r="K36" s="66">
        <f>+K28-K34</f>
        <v>17684.43</v>
      </c>
      <c r="L36" s="27"/>
      <c r="M36"/>
      <c r="N36"/>
      <c r="O36"/>
      <c r="P36"/>
      <c r="Q36"/>
      <c r="R36"/>
      <c r="S36"/>
      <c r="T36"/>
      <c r="U36"/>
      <c r="V36"/>
      <c r="W36"/>
    </row>
    <row r="37" spans="1:23" ht="11.1" customHeight="1" thickTop="1" thickBot="1" x14ac:dyDescent="0.3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  <c r="M37"/>
      <c r="N37"/>
      <c r="O37"/>
      <c r="P37"/>
      <c r="Q37"/>
      <c r="R37"/>
      <c r="S37"/>
      <c r="T37"/>
      <c r="U37"/>
      <c r="V37"/>
      <c r="W37"/>
    </row>
    <row r="38" spans="1:23" ht="15.75" thickTop="1" x14ac:dyDescent="0.25">
      <c r="H38" s="17"/>
      <c r="J38" s="17"/>
      <c r="M38"/>
      <c r="N38"/>
      <c r="O38"/>
      <c r="P38"/>
      <c r="Q38"/>
      <c r="R38"/>
      <c r="S38"/>
      <c r="T38"/>
      <c r="U38"/>
      <c r="V38"/>
      <c r="W38"/>
    </row>
    <row r="39" spans="1:23" x14ac:dyDescent="0.25">
      <c r="A39" s="18" t="s">
        <v>248</v>
      </c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spans="1:23" x14ac:dyDescent="0.25"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spans="1:23" x14ac:dyDescent="0.25"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spans="1:23" x14ac:dyDescent="0.25"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spans="1:23" x14ac:dyDescent="0.25"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spans="1:23" x14ac:dyDescent="0.25">
      <c r="H44" s="17"/>
      <c r="J44" s="17"/>
      <c r="M44"/>
      <c r="N44"/>
      <c r="O44"/>
      <c r="P44"/>
      <c r="Q44"/>
      <c r="R44"/>
      <c r="S44"/>
      <c r="T44"/>
      <c r="U44"/>
      <c r="V44"/>
      <c r="W44"/>
    </row>
    <row r="45" spans="1:23" x14ac:dyDescent="0.25">
      <c r="H45" s="17"/>
      <c r="J45" s="17"/>
      <c r="M45"/>
      <c r="N45"/>
      <c r="O45"/>
      <c r="P45"/>
      <c r="Q45"/>
      <c r="R45"/>
      <c r="S45"/>
      <c r="T45"/>
      <c r="U45"/>
      <c r="V45"/>
      <c r="W45"/>
    </row>
    <row r="46" spans="1:23" x14ac:dyDescent="0.25">
      <c r="H46" s="17"/>
      <c r="J46" s="17"/>
      <c r="M46"/>
      <c r="N46"/>
      <c r="O46"/>
      <c r="P46"/>
      <c r="Q46"/>
      <c r="R46"/>
      <c r="S46"/>
      <c r="T46"/>
      <c r="U46"/>
      <c r="V46"/>
      <c r="W46"/>
    </row>
    <row r="47" spans="1:23" x14ac:dyDescent="0.25">
      <c r="M47"/>
      <c r="N47"/>
      <c r="O47"/>
      <c r="P47"/>
      <c r="Q47"/>
      <c r="R47"/>
      <c r="S47"/>
      <c r="T47"/>
      <c r="U47"/>
      <c r="V47"/>
      <c r="W47"/>
    </row>
    <row r="48" spans="1:23" x14ac:dyDescent="0.25">
      <c r="M48"/>
      <c r="N48"/>
      <c r="O48"/>
      <c r="P48"/>
      <c r="Q48"/>
      <c r="R48"/>
      <c r="S48"/>
      <c r="T48"/>
      <c r="U48"/>
      <c r="V48"/>
      <c r="W48"/>
    </row>
    <row r="49" spans="4:23" x14ac:dyDescent="0.25">
      <c r="M49"/>
      <c r="N49"/>
      <c r="O49"/>
      <c r="P49"/>
      <c r="Q49"/>
      <c r="R49"/>
      <c r="S49"/>
      <c r="T49"/>
      <c r="U49"/>
      <c r="V49"/>
      <c r="W49"/>
    </row>
    <row r="50" spans="4:23" x14ac:dyDescent="0.25">
      <c r="H50" s="17"/>
      <c r="J50" s="17"/>
      <c r="M50"/>
      <c r="N50"/>
      <c r="O50"/>
      <c r="P50"/>
      <c r="Q50"/>
      <c r="R50"/>
      <c r="S50"/>
      <c r="T50"/>
      <c r="U50"/>
      <c r="V50"/>
      <c r="W50"/>
    </row>
    <row r="51" spans="4:23" x14ac:dyDescent="0.25">
      <c r="H51" s="17"/>
      <c r="J51" s="17"/>
      <c r="M51"/>
      <c r="N51"/>
      <c r="O51"/>
      <c r="P51"/>
      <c r="Q51"/>
      <c r="R51"/>
      <c r="S51"/>
      <c r="T51"/>
      <c r="U51"/>
      <c r="V51"/>
      <c r="W51"/>
    </row>
    <row r="52" spans="4:23" x14ac:dyDescent="0.25">
      <c r="H52" s="17"/>
      <c r="J52" s="17"/>
      <c r="M52"/>
      <c r="N52"/>
      <c r="O52"/>
      <c r="P52"/>
      <c r="Q52"/>
      <c r="R52"/>
      <c r="S52"/>
      <c r="T52"/>
      <c r="U52"/>
      <c r="V52"/>
      <c r="W52"/>
    </row>
    <row r="53" spans="4:23" x14ac:dyDescent="0.25">
      <c r="H53" s="17"/>
      <c r="J53" s="17"/>
      <c r="M53"/>
      <c r="N53"/>
      <c r="O53"/>
      <c r="P53"/>
      <c r="Q53"/>
      <c r="R53"/>
      <c r="S53"/>
      <c r="T53"/>
      <c r="U53"/>
      <c r="V53"/>
      <c r="W53"/>
    </row>
    <row r="54" spans="4:23" x14ac:dyDescent="0.25">
      <c r="E54" s="17"/>
      <c r="G54" s="17"/>
      <c r="H54" s="17"/>
      <c r="J54" s="17"/>
      <c r="M54"/>
      <c r="N54"/>
      <c r="O54"/>
      <c r="P54"/>
      <c r="Q54"/>
      <c r="R54"/>
      <c r="S54"/>
      <c r="T54"/>
      <c r="U54"/>
      <c r="V54"/>
      <c r="W54"/>
    </row>
    <row r="55" spans="4:23" x14ac:dyDescent="0.25">
      <c r="E55" s="17"/>
      <c r="G55" s="17"/>
      <c r="H55" s="17"/>
      <c r="J55" s="17"/>
      <c r="M55"/>
      <c r="N55"/>
      <c r="O55"/>
      <c r="P55"/>
      <c r="Q55"/>
      <c r="R55"/>
      <c r="S55"/>
      <c r="T55"/>
      <c r="U55"/>
      <c r="V55"/>
      <c r="W55"/>
    </row>
    <row r="56" spans="4:23" x14ac:dyDescent="0.25">
      <c r="E56" s="17"/>
      <c r="G56" s="17"/>
      <c r="H56" s="17"/>
      <c r="J56" s="17"/>
      <c r="M56"/>
      <c r="N56"/>
      <c r="O56"/>
      <c r="P56"/>
      <c r="Q56"/>
      <c r="R56"/>
      <c r="S56"/>
      <c r="T56"/>
      <c r="U56"/>
      <c r="V56"/>
      <c r="W56"/>
    </row>
    <row r="57" spans="4:23" x14ac:dyDescent="0.25">
      <c r="E57" s="17"/>
      <c r="G57" s="17"/>
      <c r="H57" s="17"/>
      <c r="J57" s="17"/>
      <c r="M57"/>
      <c r="N57"/>
      <c r="O57"/>
      <c r="P57"/>
      <c r="Q57"/>
      <c r="R57"/>
      <c r="S57"/>
      <c r="T57"/>
      <c r="U57"/>
      <c r="V57"/>
      <c r="W57"/>
    </row>
    <row r="58" spans="4:23" x14ac:dyDescent="0.25">
      <c r="D58" s="17"/>
      <c r="F58" s="17"/>
      <c r="H58" s="17"/>
      <c r="J58" s="17"/>
      <c r="M58"/>
      <c r="N58"/>
      <c r="O58"/>
      <c r="P58"/>
      <c r="Q58"/>
      <c r="R58"/>
      <c r="S58"/>
      <c r="T58"/>
      <c r="U58"/>
      <c r="V58"/>
      <c r="W58"/>
    </row>
    <row r="59" spans="4:23" x14ac:dyDescent="0.25">
      <c r="H59" s="17"/>
      <c r="J59" s="17"/>
      <c r="M59"/>
      <c r="N59"/>
      <c r="O59"/>
      <c r="P59"/>
      <c r="Q59"/>
      <c r="R59"/>
      <c r="S59"/>
      <c r="T59"/>
      <c r="U59"/>
      <c r="V59"/>
      <c r="W59"/>
    </row>
    <row r="60" spans="4:23" x14ac:dyDescent="0.25">
      <c r="H60" s="17"/>
      <c r="J60" s="17"/>
      <c r="M60"/>
      <c r="N60"/>
      <c r="O60"/>
      <c r="P60"/>
      <c r="Q60"/>
      <c r="R60"/>
      <c r="S60"/>
      <c r="T60"/>
      <c r="U60"/>
      <c r="V60"/>
      <c r="W60"/>
    </row>
    <row r="61" spans="4:23" x14ac:dyDescent="0.25">
      <c r="H61" s="17"/>
      <c r="J61" s="17"/>
      <c r="M61"/>
      <c r="N61"/>
      <c r="O61"/>
      <c r="P61"/>
      <c r="Q61"/>
      <c r="R61"/>
      <c r="S61"/>
      <c r="T61"/>
      <c r="U61"/>
      <c r="V61"/>
      <c r="W61"/>
    </row>
    <row r="62" spans="4:23" x14ac:dyDescent="0.25">
      <c r="H62" s="17"/>
      <c r="J62" s="17"/>
    </row>
    <row r="63" spans="4:23" x14ac:dyDescent="0.25">
      <c r="H63" s="17"/>
      <c r="J63" s="17"/>
    </row>
    <row r="64" spans="4:23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B23:K23"/>
    <mergeCell ref="A4:K4"/>
    <mergeCell ref="A3:L3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 t="s">
        <v>46</v>
      </c>
      <c r="C8" s="255"/>
      <c r="D8" s="256"/>
      <c r="E8" s="83">
        <v>350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  <mergeCell ref="A1:G1"/>
    <mergeCell ref="A2:G2"/>
    <mergeCell ref="B6:D7"/>
    <mergeCell ref="F6:F7"/>
    <mergeCell ref="G6:G7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 t="s">
        <v>47</v>
      </c>
      <c r="C8" s="255"/>
      <c r="D8" s="256"/>
      <c r="E8" s="83">
        <v>700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 t="s">
        <v>48</v>
      </c>
      <c r="C8" s="255"/>
      <c r="D8" s="256"/>
      <c r="E8" s="83">
        <v>290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 t="s">
        <v>49</v>
      </c>
      <c r="C8" s="255"/>
      <c r="D8" s="256"/>
      <c r="E8" s="83">
        <v>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67" t="s">
        <v>50</v>
      </c>
      <c r="C8" s="268"/>
      <c r="D8" s="269"/>
      <c r="E8" s="83">
        <f>60+50+70+80</f>
        <v>260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67" t="s">
        <v>51</v>
      </c>
      <c r="C8" s="268"/>
      <c r="D8" s="269"/>
      <c r="E8" s="83">
        <v>150</v>
      </c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2"/>
  <sheetViews>
    <sheetView topLeftCell="A2" workbookViewId="0">
      <selection activeCell="A2" sqref="A2"/>
    </sheetView>
  </sheetViews>
  <sheetFormatPr defaultRowHeight="15" x14ac:dyDescent="0.25"/>
  <cols>
    <col min="1" max="1" width="8.7109375" style="126"/>
    <col min="2" max="2" width="9.85546875" style="126" customWidth="1"/>
    <col min="3" max="3" width="12.28515625" customWidth="1"/>
    <col min="4" max="4" width="15.42578125" customWidth="1"/>
    <col min="5" max="5" width="12.42578125" customWidth="1"/>
    <col min="6" max="6" width="3.140625" customWidth="1"/>
    <col min="7" max="7" width="12.85546875" customWidth="1"/>
    <col min="8" max="8" width="12.5703125" customWidth="1"/>
    <col min="9" max="9" width="13.140625" customWidth="1"/>
    <col min="10" max="10" width="10.85546875" bestFit="1" customWidth="1"/>
  </cols>
  <sheetData>
    <row r="5" spans="1:16" x14ac:dyDescent="0.25">
      <c r="A5" s="126" t="s">
        <v>69</v>
      </c>
      <c r="C5" s="270" t="s">
        <v>87</v>
      </c>
      <c r="D5" s="270"/>
      <c r="E5" s="270"/>
      <c r="G5" s="270" t="s">
        <v>88</v>
      </c>
      <c r="H5" s="270"/>
      <c r="I5" s="270"/>
      <c r="J5" t="s">
        <v>89</v>
      </c>
    </row>
    <row r="6" spans="1:16" x14ac:dyDescent="0.25">
      <c r="B6" s="126" t="s">
        <v>78</v>
      </c>
      <c r="C6" s="126" t="s">
        <v>83</v>
      </c>
      <c r="D6" s="126" t="s">
        <v>85</v>
      </c>
      <c r="E6" s="126" t="s">
        <v>84</v>
      </c>
      <c r="G6" s="126" t="s">
        <v>83</v>
      </c>
      <c r="H6" s="126" t="s">
        <v>85</v>
      </c>
      <c r="I6" s="126" t="s">
        <v>84</v>
      </c>
    </row>
    <row r="7" spans="1:16" x14ac:dyDescent="0.25">
      <c r="A7" s="126">
        <v>2015</v>
      </c>
      <c r="B7" s="126">
        <v>3</v>
      </c>
      <c r="C7" s="125">
        <v>126153.65</v>
      </c>
      <c r="D7" s="125"/>
      <c r="E7" s="123">
        <f>+C7+D7</f>
        <v>126153.65</v>
      </c>
      <c r="G7" s="125">
        <v>126153.65</v>
      </c>
      <c r="H7" s="125"/>
      <c r="I7" s="123">
        <f>+G7+H7</f>
        <v>126153.65</v>
      </c>
      <c r="J7" s="123">
        <f>+E7-I7</f>
        <v>0</v>
      </c>
    </row>
    <row r="8" spans="1:16" x14ac:dyDescent="0.25">
      <c r="B8" s="126">
        <v>4</v>
      </c>
      <c r="C8" s="124">
        <f>+E7</f>
        <v>126153.65</v>
      </c>
      <c r="D8" s="125"/>
      <c r="E8" s="123">
        <f>+C8+D8</f>
        <v>126153.65</v>
      </c>
      <c r="G8" s="124">
        <f>+I7</f>
        <v>126153.65</v>
      </c>
      <c r="H8" s="125"/>
      <c r="I8" s="123">
        <f>+G8+H8</f>
        <v>126153.65</v>
      </c>
      <c r="J8" s="123">
        <f t="shared" ref="J8:J18" si="0">+E8-I8</f>
        <v>0</v>
      </c>
    </row>
    <row r="9" spans="1:16" x14ac:dyDescent="0.25">
      <c r="A9" s="126">
        <v>2016</v>
      </c>
      <c r="B9" s="126">
        <v>1</v>
      </c>
      <c r="C9" s="124">
        <f>+E8</f>
        <v>126153.65</v>
      </c>
      <c r="D9" s="125"/>
      <c r="E9" s="123">
        <f t="shared" ref="E9:E14" si="1">+C9+D9</f>
        <v>126153.65</v>
      </c>
      <c r="G9" s="124">
        <f>+I8</f>
        <v>126153.65</v>
      </c>
      <c r="H9" s="125"/>
      <c r="I9" s="123">
        <f t="shared" ref="I9:I18" si="2">+G9+H9</f>
        <v>126153.65</v>
      </c>
      <c r="J9" s="123">
        <f t="shared" si="0"/>
        <v>0</v>
      </c>
    </row>
    <row r="10" spans="1:16" x14ac:dyDescent="0.25">
      <c r="B10" s="126">
        <v>2</v>
      </c>
      <c r="C10" s="124">
        <f t="shared" ref="C10:C14" si="3">+E9</f>
        <v>126153.65</v>
      </c>
      <c r="D10" s="125"/>
      <c r="E10" s="123">
        <f t="shared" si="1"/>
        <v>126153.65</v>
      </c>
      <c r="G10" s="124">
        <f t="shared" ref="G10:G18" si="4">+I9</f>
        <v>126153.65</v>
      </c>
      <c r="H10" s="125"/>
      <c r="I10" s="123">
        <f t="shared" si="2"/>
        <v>126153.65</v>
      </c>
      <c r="J10" s="123">
        <f t="shared" si="0"/>
        <v>0</v>
      </c>
    </row>
    <row r="11" spans="1:16" x14ac:dyDescent="0.25">
      <c r="B11" s="126">
        <v>3</v>
      </c>
      <c r="C11" s="124">
        <f t="shared" si="3"/>
        <v>126153.65</v>
      </c>
      <c r="D11" s="125"/>
      <c r="E11" s="123">
        <f t="shared" si="1"/>
        <v>126153.65</v>
      </c>
      <c r="G11" s="124">
        <f t="shared" si="4"/>
        <v>126153.65</v>
      </c>
      <c r="H11" s="125"/>
      <c r="I11" s="123">
        <f t="shared" si="2"/>
        <v>126153.65</v>
      </c>
      <c r="J11" s="123">
        <f t="shared" si="0"/>
        <v>0</v>
      </c>
    </row>
    <row r="12" spans="1:16" x14ac:dyDescent="0.25">
      <c r="A12" s="126">
        <v>2017</v>
      </c>
      <c r="B12" s="126">
        <v>1</v>
      </c>
      <c r="C12" s="124">
        <f t="shared" si="3"/>
        <v>126153.65</v>
      </c>
      <c r="D12" s="125"/>
      <c r="E12" s="123">
        <f t="shared" si="1"/>
        <v>126153.65</v>
      </c>
      <c r="G12" s="124">
        <f t="shared" si="4"/>
        <v>126153.65</v>
      </c>
      <c r="H12" s="125"/>
      <c r="I12" s="123">
        <f t="shared" si="2"/>
        <v>126153.65</v>
      </c>
      <c r="J12" s="123">
        <f t="shared" si="0"/>
        <v>0</v>
      </c>
    </row>
    <row r="13" spans="1:16" x14ac:dyDescent="0.25">
      <c r="B13" s="126">
        <v>2</v>
      </c>
      <c r="C13" s="124">
        <f t="shared" si="3"/>
        <v>126153.65</v>
      </c>
      <c r="D13" s="125"/>
      <c r="E13" s="123">
        <f t="shared" si="1"/>
        <v>126153.65</v>
      </c>
      <c r="G13" s="124">
        <f t="shared" si="4"/>
        <v>126153.65</v>
      </c>
      <c r="H13" s="125"/>
      <c r="I13" s="123">
        <f t="shared" si="2"/>
        <v>126153.65</v>
      </c>
      <c r="J13" s="123">
        <f t="shared" si="0"/>
        <v>0</v>
      </c>
    </row>
    <row r="14" spans="1:16" x14ac:dyDescent="0.25">
      <c r="B14" s="126">
        <v>3</v>
      </c>
      <c r="C14" s="124">
        <f t="shared" si="3"/>
        <v>126153.65</v>
      </c>
      <c r="D14" s="125"/>
      <c r="E14" s="123">
        <f t="shared" si="1"/>
        <v>126153.65</v>
      </c>
      <c r="G14" s="124">
        <f t="shared" si="4"/>
        <v>126153.65</v>
      </c>
      <c r="H14" s="125"/>
      <c r="I14" s="123">
        <f t="shared" si="2"/>
        <v>126153.65</v>
      </c>
      <c r="J14" s="123">
        <f t="shared" si="0"/>
        <v>0</v>
      </c>
    </row>
    <row r="15" spans="1:16" x14ac:dyDescent="0.25">
      <c r="A15" s="126">
        <v>2018</v>
      </c>
      <c r="B15" s="126">
        <v>1</v>
      </c>
      <c r="C15" s="124">
        <f t="shared" ref="C15:C19" si="5">+E14</f>
        <v>126153.65</v>
      </c>
      <c r="D15" s="125">
        <v>10</v>
      </c>
      <c r="E15" s="123">
        <f t="shared" ref="E15:E19" si="6">+C15+D15</f>
        <v>126163.65</v>
      </c>
      <c r="G15" s="124">
        <f t="shared" si="4"/>
        <v>126153.65</v>
      </c>
      <c r="H15" s="125"/>
      <c r="I15" s="123">
        <f t="shared" si="2"/>
        <v>126153.65</v>
      </c>
      <c r="J15" s="123">
        <f t="shared" si="0"/>
        <v>10</v>
      </c>
      <c r="P15">
        <v>7</v>
      </c>
    </row>
    <row r="16" spans="1:16" x14ac:dyDescent="0.25">
      <c r="B16" s="126">
        <v>4</v>
      </c>
      <c r="C16" s="124">
        <f t="shared" si="5"/>
        <v>126163.65</v>
      </c>
      <c r="D16" s="125">
        <f>70+25</f>
        <v>95</v>
      </c>
      <c r="E16" s="123">
        <f t="shared" si="6"/>
        <v>126258.65</v>
      </c>
      <c r="G16" s="124">
        <f t="shared" si="4"/>
        <v>126153.65</v>
      </c>
      <c r="H16" s="125">
        <v>70</v>
      </c>
      <c r="I16" s="125">
        <f>+G16</f>
        <v>126153.65</v>
      </c>
      <c r="J16" s="123">
        <f t="shared" si="0"/>
        <v>105</v>
      </c>
      <c r="P16">
        <v>9</v>
      </c>
    </row>
    <row r="17" spans="1:16" x14ac:dyDescent="0.25">
      <c r="A17" s="126">
        <v>2019</v>
      </c>
      <c r="B17" s="127" t="s">
        <v>86</v>
      </c>
      <c r="C17" s="124">
        <f t="shared" si="5"/>
        <v>126258.65</v>
      </c>
      <c r="D17" s="125">
        <v>2930</v>
      </c>
      <c r="E17" s="123">
        <f t="shared" si="6"/>
        <v>129188.65</v>
      </c>
      <c r="G17" s="124">
        <f t="shared" si="4"/>
        <v>126153.65</v>
      </c>
      <c r="H17" s="125">
        <f>129258.65-70-126153.65</f>
        <v>3035</v>
      </c>
      <c r="I17" s="123">
        <f t="shared" si="2"/>
        <v>129188.65</v>
      </c>
      <c r="J17" s="123">
        <f t="shared" si="0"/>
        <v>0</v>
      </c>
      <c r="P17">
        <v>7</v>
      </c>
    </row>
    <row r="18" spans="1:16" x14ac:dyDescent="0.25">
      <c r="B18" s="126">
        <v>3</v>
      </c>
      <c r="C18" s="124">
        <f t="shared" si="5"/>
        <v>129188.65</v>
      </c>
      <c r="D18" s="125">
        <v>70</v>
      </c>
      <c r="E18" s="123">
        <f t="shared" si="6"/>
        <v>129258.65</v>
      </c>
      <c r="G18" s="124">
        <f t="shared" si="4"/>
        <v>129188.65</v>
      </c>
      <c r="H18" s="125">
        <v>70</v>
      </c>
      <c r="I18" s="123">
        <f t="shared" si="2"/>
        <v>129258.65</v>
      </c>
      <c r="J18" s="123">
        <f t="shared" si="0"/>
        <v>0</v>
      </c>
      <c r="P18">
        <v>1.4</v>
      </c>
    </row>
    <row r="19" spans="1:16" x14ac:dyDescent="0.25">
      <c r="B19" s="126">
        <v>4</v>
      </c>
      <c r="C19" s="124">
        <f t="shared" si="5"/>
        <v>129258.65</v>
      </c>
      <c r="D19" s="125">
        <v>25</v>
      </c>
      <c r="E19" s="123">
        <f t="shared" si="6"/>
        <v>129283.65</v>
      </c>
      <c r="G19" s="124"/>
      <c r="H19" s="125"/>
      <c r="I19" s="123"/>
      <c r="J19" s="123"/>
      <c r="P19">
        <v>1.75</v>
      </c>
    </row>
    <row r="21" spans="1:16" x14ac:dyDescent="0.25">
      <c r="C21" t="s">
        <v>90</v>
      </c>
    </row>
    <row r="22" spans="1:16" x14ac:dyDescent="0.25">
      <c r="C22" s="123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0"/>
  <sheetViews>
    <sheetView showGridLines="0" tabSelected="1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7.710937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6.7109375" style="18" customWidth="1"/>
    <col min="10" max="10" width="1.5703125" style="18" customWidth="1"/>
    <col min="11" max="12" width="15.8554687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15" ht="6" customHeight="1" x14ac:dyDescent="0.25"/>
    <row r="2" spans="1:15" ht="20.25" x14ac:dyDescent="0.25">
      <c r="A2" s="225" t="s">
        <v>70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5" ht="20.25" x14ac:dyDescent="0.25">
      <c r="A3" s="225" t="s">
        <v>71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5" ht="20.25" x14ac:dyDescent="0.25">
      <c r="A4" s="225" t="str">
        <f>"Quarterly Analysis Statement, " &amp;VLOOKUP(CurrQtr,LKQtr,5)&amp;", "&amp;CurrentYr</f>
        <v>Quarterly Analysis Statement, 4th Quarter, 2023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5" ht="9.9499999999999993" customHeight="1" thickBot="1" x14ac:dyDescent="0.3">
      <c r="G5" s="17"/>
      <c r="H5" s="17"/>
      <c r="I5" s="17"/>
      <c r="J5" s="17"/>
      <c r="K5" s="17"/>
    </row>
    <row r="6" spans="1:15" ht="6.6" customHeight="1" x14ac:dyDescent="0.25">
      <c r="A6" s="175"/>
      <c r="B6" s="188"/>
      <c r="C6" s="188"/>
      <c r="D6" s="188"/>
      <c r="E6" s="188"/>
      <c r="F6" s="188"/>
      <c r="G6" s="189"/>
      <c r="H6" s="189"/>
      <c r="I6" s="189"/>
      <c r="J6" s="189"/>
      <c r="K6" s="190"/>
    </row>
    <row r="7" spans="1:15" ht="47.25" x14ac:dyDescent="0.2">
      <c r="A7" s="177"/>
      <c r="B7" s="98" t="s">
        <v>32</v>
      </c>
      <c r="E7" s="97" t="s">
        <v>149</v>
      </c>
      <c r="G7" s="97" t="s">
        <v>150</v>
      </c>
      <c r="H7" s="17"/>
      <c r="I7" s="97" t="s">
        <v>151</v>
      </c>
      <c r="J7" s="17"/>
      <c r="K7" s="191" t="s">
        <v>156</v>
      </c>
    </row>
    <row r="8" spans="1:15" x14ac:dyDescent="0.25">
      <c r="A8" s="177"/>
      <c r="B8" s="93">
        <v>1000</v>
      </c>
      <c r="C8" s="17" t="str">
        <f>IF(B8="","",VLOOKUP(B8,Chart,2))</f>
        <v>Fidelity Investments</v>
      </c>
      <c r="E8" s="19">
        <f>VLOOKUP(3,BankAccounts,4)</f>
        <v>173797.35</v>
      </c>
      <c r="G8" s="19">
        <f>VLOOKUP(6,BankAccounts,4)</f>
        <v>178354.27</v>
      </c>
      <c r="H8" s="17"/>
      <c r="I8" s="19">
        <f>VLOOKUP(9,BankAccounts,4)</f>
        <v>171833.13999999998</v>
      </c>
      <c r="J8" s="17"/>
      <c r="K8" s="192">
        <f>VLOOKUP(12,BankAccounts,4)</f>
        <v>189517.57</v>
      </c>
      <c r="M8" s="20"/>
      <c r="N8" s="19"/>
      <c r="O8" s="19"/>
    </row>
    <row r="9" spans="1:15" x14ac:dyDescent="0.25">
      <c r="A9" s="177"/>
      <c r="B9" s="93">
        <v>1020</v>
      </c>
      <c r="C9" s="17" t="str">
        <f>IF(B9="","",VLOOKUP(B9,Chart,2))</f>
        <v>Racine Community Foundation</v>
      </c>
      <c r="E9" s="19">
        <f>VLOOKUP(3,BankAccounts,7)</f>
        <v>28937.54</v>
      </c>
      <c r="G9" s="19">
        <f>VLOOKUP(6,BankAccounts,7)</f>
        <v>28937.54</v>
      </c>
      <c r="H9" s="17"/>
      <c r="I9" s="19">
        <f>VLOOKUP(9,BankAccounts,7)</f>
        <v>28937.54</v>
      </c>
      <c r="J9" s="17"/>
      <c r="K9" s="192">
        <f>VLOOKUP(12,BankAccounts,7)</f>
        <v>28937.54</v>
      </c>
      <c r="N9" s="20"/>
    </row>
    <row r="10" spans="1:15" ht="16.5" thickBot="1" x14ac:dyDescent="0.3">
      <c r="A10" s="177"/>
      <c r="B10" s="43" t="s">
        <v>31</v>
      </c>
      <c r="C10" s="43"/>
      <c r="D10" s="43"/>
      <c r="E10" s="62">
        <f>SUM(E8:E9)</f>
        <v>202734.89</v>
      </c>
      <c r="F10" s="43"/>
      <c r="G10" s="62">
        <f>SUM(G8:G9)</f>
        <v>207291.81</v>
      </c>
      <c r="H10" s="17"/>
      <c r="I10" s="62">
        <f>SUM(I8:I9)</f>
        <v>200770.68</v>
      </c>
      <c r="J10" s="17"/>
      <c r="K10" s="193">
        <f>SUM(K8:K9)</f>
        <v>218455.11000000002</v>
      </c>
      <c r="M10" s="20"/>
      <c r="N10" s="20"/>
    </row>
    <row r="11" spans="1:15" ht="16.5" hidden="1" thickTop="1" x14ac:dyDescent="0.25">
      <c r="A11" s="177"/>
      <c r="E11" s="20"/>
      <c r="G11" s="97" t="str">
        <f>VLOOKUP(CurrQtr,LKQtr,2)</f>
        <v>October</v>
      </c>
      <c r="H11" s="17"/>
      <c r="I11" s="97" t="str">
        <f>VLOOKUP(CurrQtr,LKQtr,2)</f>
        <v>October</v>
      </c>
      <c r="J11" s="17"/>
      <c r="K11" s="191" t="str">
        <f>VLOOKUP(CurrQtr,LKQtr,2)</f>
        <v>October</v>
      </c>
    </row>
    <row r="12" spans="1:15" ht="16.5" thickTop="1" x14ac:dyDescent="0.25">
      <c r="A12" s="177"/>
      <c r="C12" s="18" t="s">
        <v>257</v>
      </c>
      <c r="D12" s="43"/>
      <c r="E12" s="219">
        <f>1-(('Bank Accounts'!$E$8+'Bank Accounts'!$H$8)/(E10-E25))</f>
        <v>4.4824198541756122E-2</v>
      </c>
      <c r="F12" s="220"/>
      <c r="G12" s="219">
        <f>1-(E10/(G10-G25))</f>
        <v>2.1983116457905294E-2</v>
      </c>
      <c r="H12" s="221"/>
      <c r="I12" s="219">
        <f>1-(G10/(I10-I25))</f>
        <v>-3.2480489681063096E-2</v>
      </c>
      <c r="J12" s="221"/>
      <c r="K12" s="222">
        <f>1-(I10/(K10-K25))</f>
        <v>7.2657502772156768E-2</v>
      </c>
      <c r="L12" s="214"/>
    </row>
    <row r="13" spans="1:15" ht="3.95" customHeight="1" x14ac:dyDescent="0.25">
      <c r="A13" s="177"/>
      <c r="E13" s="20"/>
      <c r="G13" s="20"/>
      <c r="H13" s="17"/>
      <c r="I13" s="17"/>
      <c r="J13" s="17"/>
      <c r="K13" s="195"/>
    </row>
    <row r="14" spans="1:15" x14ac:dyDescent="0.25">
      <c r="A14" s="177"/>
      <c r="B14" s="18" t="s">
        <v>75</v>
      </c>
      <c r="E14" s="20"/>
      <c r="G14" s="20"/>
      <c r="H14" s="17"/>
      <c r="I14" s="17"/>
      <c r="J14" s="17"/>
      <c r="K14" s="194"/>
    </row>
    <row r="15" spans="1:15" x14ac:dyDescent="0.25">
      <c r="A15" s="177"/>
      <c r="C15" s="18" t="s">
        <v>69</v>
      </c>
      <c r="E15" s="19">
        <f>VLOOKUP(3,BankAccounts,11)</f>
        <v>133323.65</v>
      </c>
      <c r="G15" s="19">
        <f>VLOOKUP(6,BankAccounts,11)</f>
        <v>133323.65</v>
      </c>
      <c r="H15" s="17"/>
      <c r="I15" s="19">
        <f>VLOOKUP(9,BankAccounts,11)</f>
        <v>133323.65</v>
      </c>
      <c r="J15" s="17"/>
      <c r="K15" s="192">
        <f>VLOOKUP(12,BankAccounts,11)</f>
        <v>135277.65</v>
      </c>
      <c r="M15" s="20"/>
      <c r="O15" s="122"/>
    </row>
    <row r="16" spans="1:15" x14ac:dyDescent="0.25">
      <c r="A16" s="177"/>
      <c r="C16" s="18" t="s">
        <v>142</v>
      </c>
      <c r="E16" s="20">
        <f>+E10-E15</f>
        <v>69411.24000000002</v>
      </c>
      <c r="F16" s="20">
        <f t="shared" ref="F16:K16" si="0">+F10-F15</f>
        <v>0</v>
      </c>
      <c r="G16" s="20">
        <f t="shared" si="0"/>
        <v>73968.160000000003</v>
      </c>
      <c r="H16" s="20">
        <f t="shared" si="0"/>
        <v>0</v>
      </c>
      <c r="I16" s="20">
        <f t="shared" si="0"/>
        <v>67447.03</v>
      </c>
      <c r="J16" s="20">
        <f t="shared" si="0"/>
        <v>0</v>
      </c>
      <c r="K16" s="180">
        <f t="shared" si="0"/>
        <v>83177.460000000021</v>
      </c>
      <c r="M16" s="20"/>
    </row>
    <row r="17" spans="1:15" x14ac:dyDescent="0.25">
      <c r="A17" s="177"/>
      <c r="B17" s="116"/>
      <c r="C17" s="18" t="str">
        <f>Reserve*100&amp;"% Reserve (of available funds)"</f>
        <v>15% Reserve (of available funds)</v>
      </c>
      <c r="E17" s="20">
        <f t="shared" ref="E17:K17" si="1">+E16*Reserve</f>
        <v>10411.686000000003</v>
      </c>
      <c r="F17" s="20">
        <f t="shared" si="1"/>
        <v>0</v>
      </c>
      <c r="G17" s="20">
        <f t="shared" si="1"/>
        <v>11095.224</v>
      </c>
      <c r="H17" s="20">
        <f t="shared" si="1"/>
        <v>0</v>
      </c>
      <c r="I17" s="20">
        <f t="shared" si="1"/>
        <v>10117.0545</v>
      </c>
      <c r="J17" s="20">
        <f t="shared" si="1"/>
        <v>0</v>
      </c>
      <c r="K17" s="180">
        <f t="shared" si="1"/>
        <v>12476.619000000002</v>
      </c>
      <c r="M17" s="20"/>
      <c r="O17" s="122"/>
    </row>
    <row r="18" spans="1:15" ht="16.5" thickBot="1" x14ac:dyDescent="0.3">
      <c r="A18" s="177"/>
      <c r="B18" s="43" t="s">
        <v>77</v>
      </c>
      <c r="C18" s="43"/>
      <c r="D18" s="43"/>
      <c r="E18" s="62">
        <f>+E16-E17</f>
        <v>58999.554000000018</v>
      </c>
      <c r="F18" s="62">
        <f t="shared" ref="F18:K18" si="2">+F16-F17</f>
        <v>0</v>
      </c>
      <c r="G18" s="62">
        <f t="shared" si="2"/>
        <v>62872.936000000002</v>
      </c>
      <c r="H18" s="62">
        <f t="shared" si="2"/>
        <v>0</v>
      </c>
      <c r="I18" s="62">
        <f t="shared" si="2"/>
        <v>57329.9755</v>
      </c>
      <c r="J18" s="62">
        <f t="shared" si="2"/>
        <v>0</v>
      </c>
      <c r="K18" s="193">
        <f t="shared" si="2"/>
        <v>70700.841000000015</v>
      </c>
      <c r="M18" s="20"/>
    </row>
    <row r="19" spans="1:15" ht="16.5" thickTop="1" x14ac:dyDescent="0.25">
      <c r="A19" s="177"/>
      <c r="B19" s="43"/>
      <c r="C19" s="160" t="s">
        <v>141</v>
      </c>
      <c r="D19" s="43"/>
      <c r="E19" s="120"/>
      <c r="F19" s="120"/>
      <c r="G19" s="120"/>
      <c r="H19" s="120"/>
      <c r="I19" s="120"/>
      <c r="J19" s="120"/>
      <c r="K19" s="196"/>
      <c r="M19" s="20"/>
    </row>
    <row r="20" spans="1:15" ht="15.75" x14ac:dyDescent="0.25">
      <c r="A20" s="177"/>
      <c r="B20" s="43" t="str">
        <f>"Reasonable &amp; Prudent Annual Spendable ("&amp;QtrTitle &amp; ")"</f>
        <v>Reasonable &amp; Prudent Annual Spendable (4.0% of Rolling 20 qtrs Avg Total Assets)</v>
      </c>
      <c r="C20" s="121"/>
      <c r="D20" s="43"/>
      <c r="E20" s="120"/>
      <c r="F20" s="120"/>
      <c r="G20" s="120"/>
      <c r="H20" s="120"/>
      <c r="I20" s="120"/>
      <c r="J20" s="120"/>
      <c r="K20" s="196">
        <f ca="1">QtrRollingAvgPct</f>
        <v>7506.7700399999994</v>
      </c>
      <c r="M20" s="20"/>
      <c r="N20" s="20"/>
    </row>
    <row r="21" spans="1:15" ht="17.25" customHeight="1" thickBot="1" x14ac:dyDescent="0.3">
      <c r="A21" s="184"/>
      <c r="B21" s="223" t="str">
        <f ca="1">"YTD Total Return: "&amp;TEXT(1-('Bank Accounts'!E8+'Bank Accounts'!H8)/(('Bank Accounts'!E21+'Bank Accounts'!H21)-L25),"0.0%")</f>
        <v>YTD Total Return: 10.6%</v>
      </c>
      <c r="C21" s="185"/>
      <c r="D21" s="185"/>
      <c r="E21" s="197"/>
      <c r="F21" s="185"/>
      <c r="G21" s="197"/>
      <c r="H21" s="186"/>
      <c r="I21" s="186"/>
      <c r="J21" s="186"/>
      <c r="K21" s="198"/>
    </row>
    <row r="22" spans="1:15" ht="9.9499999999999993" customHeight="1" thickBot="1" x14ac:dyDescent="0.3">
      <c r="E22" s="23"/>
      <c r="G22" s="23"/>
      <c r="K22" s="89"/>
    </row>
    <row r="23" spans="1:15" ht="25.5" customHeight="1" x14ac:dyDescent="0.25">
      <c r="A23" s="175"/>
      <c r="B23" s="228" t="s">
        <v>37</v>
      </c>
      <c r="C23" s="228"/>
      <c r="D23" s="228"/>
      <c r="E23" s="228"/>
      <c r="F23" s="228"/>
      <c r="G23" s="228"/>
      <c r="H23" s="228"/>
      <c r="I23" s="228"/>
      <c r="J23" s="228"/>
      <c r="K23" s="228"/>
      <c r="L23" s="176"/>
    </row>
    <row r="24" spans="1:15" ht="31.5" x14ac:dyDescent="0.25">
      <c r="A24" s="177"/>
      <c r="B24" s="106" t="s">
        <v>33</v>
      </c>
      <c r="E24" s="227" t="s">
        <v>152</v>
      </c>
      <c r="F24" s="227"/>
      <c r="G24" s="227" t="s">
        <v>153</v>
      </c>
      <c r="H24" s="227"/>
      <c r="I24" s="227" t="s">
        <v>154</v>
      </c>
      <c r="J24" s="227"/>
      <c r="K24" s="172" t="s">
        <v>157</v>
      </c>
      <c r="L24" s="178" t="s">
        <v>155</v>
      </c>
    </row>
    <row r="25" spans="1:15" x14ac:dyDescent="0.25">
      <c r="A25" s="177"/>
      <c r="B25" s="105">
        <v>4000</v>
      </c>
      <c r="C25" s="17" t="str">
        <f>VLOOKUP(B25,Accounts,2)</f>
        <v>Contributions (Principal Increase)</v>
      </c>
      <c r="E25" s="173">
        <f>SUMPRODUCT(SUMIFS(SumRevenue,SumMonth,SumQ1,SumAccount,$B25))</f>
        <v>205</v>
      </c>
      <c r="F25" s="19"/>
      <c r="G25" s="173">
        <f>SUMPRODUCT(SUMIFS(SumRevenue,SumMonth,SumQ2,SumAccount,$B25))</f>
        <v>0</v>
      </c>
      <c r="H25" s="19"/>
      <c r="I25" s="173">
        <f>SUMPRODUCT(SUMIFS(SumRevenue,SumMonth,SumQ3,SumAccount,$B25))</f>
        <v>0</v>
      </c>
      <c r="J25" s="19"/>
      <c r="K25" s="173">
        <f>SUMPRODUCT(SUMIFS(SumRevenue,SumMonth,SumQ4,SumAccount,$B25))</f>
        <v>1954</v>
      </c>
      <c r="L25" s="179">
        <f>SUM(K25,I25,G25,E25)</f>
        <v>2159</v>
      </c>
      <c r="M25" s="174"/>
    </row>
    <row r="26" spans="1:15" x14ac:dyDescent="0.25">
      <c r="A26" s="177"/>
      <c r="B26" s="105">
        <v>4010</v>
      </c>
      <c r="C26" s="17" t="str">
        <f>VLOOKUP(B26,Accounts,2)</f>
        <v>Interest</v>
      </c>
      <c r="E26" s="173">
        <f>SUMPRODUCT(SUMIFS(SumRevenue,SumMonth,SumQ1,SumAccount,$B26))</f>
        <v>0</v>
      </c>
      <c r="G26" s="19">
        <f>SUMPRODUCT(SUMIFS(SumRevenue,SumMonth,SumQ2,SumAccount,$B26))</f>
        <v>0</v>
      </c>
      <c r="H26" s="17"/>
      <c r="I26" s="19">
        <f>SUMPRODUCT(SUMIFS(SumRevenue,SumMonth,SumQ3,SumAccount,$B26))</f>
        <v>0</v>
      </c>
      <c r="J26" s="17"/>
      <c r="K26" s="20">
        <f>SUMPRODUCT(SUMIFS(SumRevenue,SumMonth,SumQ4,SumAccount,$B26))</f>
        <v>0</v>
      </c>
      <c r="L26" s="180">
        <f t="shared" ref="L26:L28" si="3">SUM(K26,I26,G26,E26)</f>
        <v>0</v>
      </c>
      <c r="M26" s="20"/>
    </row>
    <row r="27" spans="1:15" x14ac:dyDescent="0.25">
      <c r="A27" s="177"/>
      <c r="B27" s="105">
        <v>4020</v>
      </c>
      <c r="C27" s="17" t="str">
        <f>VLOOKUP(B27,Accounts,2)&amp;" (Net)"</f>
        <v>Change in Investment Value (Net)</v>
      </c>
      <c r="E27" s="107">
        <f>SUMPRODUCT(SUMIFS(SumRevenue,SumMonth,SumQ1,SumAccount,$B27))</f>
        <v>9078.239999999998</v>
      </c>
      <c r="F27" s="108"/>
      <c r="G27" s="107">
        <f>SUMPRODUCT(SUMIFS(SumRevenue,SumMonth,SumQ2,SumAccount,$B27))</f>
        <v>4556.92</v>
      </c>
      <c r="H27" s="109"/>
      <c r="I27" s="107">
        <f>SUMPRODUCT(SUMIFS(SumRevenue,SumMonth,SumQ3,SumAccount,$B27))</f>
        <v>-6521.1299999999992</v>
      </c>
      <c r="J27" s="109"/>
      <c r="K27" s="110">
        <f>SUMPRODUCT(SUMIFS(SumRevenue,SumMonth,SumQ4,SumAccount,$B27))</f>
        <v>15730.43</v>
      </c>
      <c r="L27" s="181">
        <f t="shared" si="3"/>
        <v>22844.46</v>
      </c>
    </row>
    <row r="28" spans="1:15" ht="20.25" x14ac:dyDescent="0.25">
      <c r="A28" s="177"/>
      <c r="B28" s="43" t="s">
        <v>34</v>
      </c>
      <c r="C28" s="61"/>
      <c r="D28" s="63"/>
      <c r="E28" s="64">
        <f>SUM(E25:E27)</f>
        <v>9283.239999999998</v>
      </c>
      <c r="F28" s="63"/>
      <c r="G28" s="64">
        <f>SUM(G25:G27)</f>
        <v>4556.92</v>
      </c>
      <c r="H28" s="61"/>
      <c r="I28" s="64">
        <f>SUM(I25:I27)</f>
        <v>-6521.1299999999992</v>
      </c>
      <c r="J28" s="65"/>
      <c r="K28" s="64">
        <f>SUM(K25:K27)</f>
        <v>17684.43</v>
      </c>
      <c r="L28" s="182">
        <f t="shared" si="3"/>
        <v>25003.46</v>
      </c>
      <c r="M28" s="20"/>
    </row>
    <row r="29" spans="1:15" ht="7.5" customHeight="1" x14ac:dyDescent="0.25">
      <c r="A29" s="177"/>
      <c r="C29" s="17"/>
      <c r="D29" s="21"/>
      <c r="E29" s="19"/>
      <c r="F29" s="21"/>
      <c r="G29" s="19"/>
      <c r="H29" s="17"/>
      <c r="I29" s="19"/>
      <c r="J29" s="22"/>
      <c r="K29" s="20"/>
      <c r="L29" s="180"/>
    </row>
    <row r="30" spans="1:15" ht="17.25" x14ac:dyDescent="0.25">
      <c r="A30" s="177"/>
      <c r="B30" s="43" t="s">
        <v>35</v>
      </c>
      <c r="C30" s="17"/>
      <c r="D30" s="21"/>
      <c r="E30" s="19"/>
      <c r="F30" s="21"/>
      <c r="G30" s="19"/>
      <c r="H30" s="17"/>
      <c r="I30" s="19"/>
      <c r="J30" s="22"/>
      <c r="K30" s="20"/>
      <c r="L30" s="180"/>
    </row>
    <row r="31" spans="1:15" ht="15.6" customHeight="1" x14ac:dyDescent="0.25">
      <c r="A31" s="177"/>
      <c r="B31" s="105">
        <v>5000</v>
      </c>
      <c r="C31" s="17" t="str">
        <f>VLOOKUP(B31,Accounts,2)</f>
        <v>Grants</v>
      </c>
      <c r="E31" s="19">
        <f>SUMPRODUCT(SUMIFS(SumExp,SumMonth,SumQ1,SumAccount,$B31))</f>
        <v>0</v>
      </c>
      <c r="G31" s="19">
        <f>SUMPRODUCT(SUMIFS(SumExp,SumMonth,SumQ2,SumAccount,$B31))</f>
        <v>0</v>
      </c>
      <c r="H31" s="17"/>
      <c r="I31" s="19">
        <f>SUMPRODUCT(SUMIFS(SumExp,SumMonth,SumQ3,SumAccount,$B31))</f>
        <v>0</v>
      </c>
      <c r="J31" s="17"/>
      <c r="K31" s="20">
        <f>SUMPRODUCT(SUMIFS(SumExp,SumMonth,SumQ4,SumAccount,$B31))</f>
        <v>0</v>
      </c>
      <c r="L31" s="180">
        <f t="shared" ref="L31:L34" si="4">SUM(K31,I31,G31,E31)</f>
        <v>0</v>
      </c>
    </row>
    <row r="32" spans="1:15" ht="15.6" customHeight="1" x14ac:dyDescent="0.25">
      <c r="A32" s="177"/>
      <c r="B32" s="105">
        <v>5010</v>
      </c>
      <c r="C32" s="17" t="str">
        <f>VLOOKUP(B32,Accounts,2)</f>
        <v>Fund Expenses</v>
      </c>
      <c r="E32" s="19">
        <f>SUMPRODUCT(SUMIFS(SumExp,SumMonth,SumQ1,SumAccount,$B32))</f>
        <v>0</v>
      </c>
      <c r="G32" s="19">
        <f>SUMPRODUCT(SUMIFS(SumExp,SumMonth,SumQ2,SumAccount,$B32))</f>
        <v>0</v>
      </c>
      <c r="H32" s="17"/>
      <c r="I32" s="19">
        <f>SUMPRODUCT(SUMIFS(SumExp,SumMonth,SumQ3,SumAccount,$B32))</f>
        <v>0</v>
      </c>
      <c r="J32" s="17"/>
      <c r="K32" s="20">
        <f>SUMPRODUCT(SUMIFS(SumExp,SumMonth,SumQ4,SumAccount,$B32))</f>
        <v>0</v>
      </c>
      <c r="L32" s="180">
        <f t="shared" si="4"/>
        <v>0</v>
      </c>
    </row>
    <row r="33" spans="1:14" ht="15.6" customHeight="1" x14ac:dyDescent="0.25">
      <c r="A33" s="177"/>
      <c r="B33" s="105">
        <v>5050</v>
      </c>
      <c r="C33" s="17" t="str">
        <f>VLOOKUP(B33,Accounts,2)</f>
        <v>Reductions to Principal</v>
      </c>
      <c r="E33" s="107">
        <f>SUMPRODUCT(SUMIFS(SumExp,SumMonth,SumQ1,SumAccount,$B33))</f>
        <v>0</v>
      </c>
      <c r="F33" s="108"/>
      <c r="G33" s="107">
        <f>SUMPRODUCT(SUMIFS(SumExp,SumMonth,SumQ2,SumAccount,$B33))</f>
        <v>0</v>
      </c>
      <c r="H33" s="109"/>
      <c r="I33" s="107">
        <f>SUMPRODUCT(SUMIFS(SumExp,SumMonth,SumQ3,SumAccount,$B33))</f>
        <v>0</v>
      </c>
      <c r="J33" s="109"/>
      <c r="K33" s="110">
        <f>SUMPRODUCT(SUMIFS(SumExp,SumMonth,SumQ4,SumAccount,$B33))</f>
        <v>0</v>
      </c>
      <c r="L33" s="181">
        <f t="shared" si="4"/>
        <v>0</v>
      </c>
    </row>
    <row r="34" spans="1:14" ht="15.6" customHeight="1" x14ac:dyDescent="0.25">
      <c r="A34" s="177"/>
      <c r="B34" s="43" t="s">
        <v>30</v>
      </c>
      <c r="E34" s="64">
        <f>SUM(E31:E33)</f>
        <v>0</v>
      </c>
      <c r="G34" s="64">
        <f>SUM(G31:G33)</f>
        <v>0</v>
      </c>
      <c r="H34" s="61"/>
      <c r="I34" s="64">
        <f>SUM(I31:I33)</f>
        <v>0</v>
      </c>
      <c r="J34" s="65"/>
      <c r="K34" s="64">
        <f>SUM(K31:K33)</f>
        <v>0</v>
      </c>
      <c r="L34" s="182">
        <f t="shared" si="4"/>
        <v>0</v>
      </c>
      <c r="M34" s="20"/>
      <c r="N34" s="20"/>
    </row>
    <row r="35" spans="1:14" ht="9" customHeight="1" x14ac:dyDescent="0.25">
      <c r="A35" s="177"/>
      <c r="B35" s="43"/>
      <c r="E35" s="64"/>
      <c r="G35" s="64"/>
      <c r="H35" s="61"/>
      <c r="I35" s="64"/>
      <c r="J35" s="65"/>
      <c r="K35" s="64"/>
      <c r="L35" s="182"/>
    </row>
    <row r="36" spans="1:14" ht="15.6" customHeight="1" thickBot="1" x14ac:dyDescent="0.3">
      <c r="A36" s="177"/>
      <c r="B36" s="43" t="s">
        <v>36</v>
      </c>
      <c r="E36" s="66">
        <f>+E28-E34</f>
        <v>9283.239999999998</v>
      </c>
      <c r="G36" s="66">
        <f>+G28-G34</f>
        <v>4556.92</v>
      </c>
      <c r="H36" s="61"/>
      <c r="I36" s="66">
        <f>+I28-I34</f>
        <v>-6521.1299999999992</v>
      </c>
      <c r="J36" s="65"/>
      <c r="K36" s="66">
        <f>+K28-K34</f>
        <v>17684.43</v>
      </c>
      <c r="L36" s="183">
        <f>SUM(K36,I36,G36,E36)</f>
        <v>25003.46</v>
      </c>
      <c r="M36" s="20"/>
    </row>
    <row r="37" spans="1:14" ht="11.1" customHeight="1" thickTop="1" thickBot="1" x14ac:dyDescent="0.3">
      <c r="A37" s="184"/>
      <c r="B37" s="185"/>
      <c r="C37" s="185"/>
      <c r="D37" s="185"/>
      <c r="E37" s="185"/>
      <c r="F37" s="185"/>
      <c r="G37" s="185"/>
      <c r="H37" s="186"/>
      <c r="I37" s="185"/>
      <c r="J37" s="186"/>
      <c r="K37" s="185"/>
      <c r="L37" s="187"/>
    </row>
    <row r="38" spans="1:14" x14ac:dyDescent="0.2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4" x14ac:dyDescent="0.25">
      <c r="A39" s="18" t="s">
        <v>248</v>
      </c>
      <c r="B39"/>
      <c r="C39"/>
      <c r="D39"/>
      <c r="E39"/>
      <c r="F39"/>
      <c r="G39"/>
      <c r="H39"/>
      <c r="I39"/>
      <c r="J39"/>
      <c r="K39"/>
      <c r="L39"/>
      <c r="M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4" x14ac:dyDescent="0.2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4" x14ac:dyDescent="0.2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4" x14ac:dyDescent="0.2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4" x14ac:dyDescent="0.2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4" x14ac:dyDescent="0.25">
      <c r="A47"/>
      <c r="B47"/>
      <c r="C47"/>
      <c r="D47"/>
      <c r="E47"/>
      <c r="F47"/>
      <c r="G47"/>
      <c r="H47"/>
      <c r="I47"/>
      <c r="J47"/>
      <c r="K47"/>
      <c r="L47"/>
      <c r="M47"/>
    </row>
    <row r="50" spans="4:10" x14ac:dyDescent="0.25">
      <c r="H50" s="17"/>
      <c r="J50" s="17"/>
    </row>
    <row r="51" spans="4:10" x14ac:dyDescent="0.25">
      <c r="H51" s="17"/>
      <c r="J51" s="17"/>
    </row>
    <row r="52" spans="4:10" x14ac:dyDescent="0.25">
      <c r="H52" s="17"/>
      <c r="J52" s="17"/>
    </row>
    <row r="53" spans="4:10" x14ac:dyDescent="0.25">
      <c r="H53" s="17"/>
      <c r="J53" s="17"/>
    </row>
    <row r="54" spans="4:10" x14ac:dyDescent="0.25">
      <c r="E54" s="17"/>
      <c r="G54" s="17"/>
      <c r="H54" s="17"/>
      <c r="J54" s="17"/>
    </row>
    <row r="55" spans="4:10" x14ac:dyDescent="0.25">
      <c r="E55" s="17"/>
      <c r="G55" s="17"/>
      <c r="H55" s="17"/>
      <c r="J55" s="17"/>
    </row>
    <row r="56" spans="4:10" x14ac:dyDescent="0.25">
      <c r="E56" s="17"/>
      <c r="G56" s="17"/>
      <c r="H56" s="17"/>
      <c r="J56" s="17"/>
    </row>
    <row r="57" spans="4:10" x14ac:dyDescent="0.25">
      <c r="E57" s="17"/>
      <c r="G57" s="17"/>
      <c r="H57" s="17"/>
      <c r="J57" s="17"/>
    </row>
    <row r="58" spans="4:10" x14ac:dyDescent="0.25">
      <c r="D58" s="17"/>
      <c r="F58" s="17"/>
      <c r="H58" s="17"/>
      <c r="J58" s="17"/>
    </row>
    <row r="59" spans="4:10" x14ac:dyDescent="0.25">
      <c r="H59" s="17"/>
      <c r="J59" s="17"/>
    </row>
    <row r="60" spans="4:10" x14ac:dyDescent="0.25">
      <c r="H60" s="17"/>
      <c r="J60" s="17"/>
    </row>
    <row r="61" spans="4:10" x14ac:dyDescent="0.25">
      <c r="H61" s="17"/>
      <c r="J61" s="17"/>
    </row>
    <row r="62" spans="4:10" x14ac:dyDescent="0.25">
      <c r="H62" s="17"/>
      <c r="J62" s="17"/>
    </row>
    <row r="63" spans="4:10" x14ac:dyDescent="0.25">
      <c r="H63" s="17"/>
      <c r="J63" s="17"/>
    </row>
    <row r="64" spans="4:10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A3:L3"/>
    <mergeCell ref="B23:K23"/>
    <mergeCell ref="E24:F24"/>
    <mergeCell ref="G24:H24"/>
    <mergeCell ref="I24:J24"/>
    <mergeCell ref="A4:L4"/>
  </mergeCells>
  <printOptions horizontalCentered="1"/>
  <pageMargins left="0.45" right="0.45" top="0.5" bottom="0.5" header="0.3" footer="0.3"/>
  <pageSetup scale="7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230"/>
  <sheetViews>
    <sheetView showGridLines="0" workbookViewId="0"/>
  </sheetViews>
  <sheetFormatPr defaultColWidth="8.7109375" defaultRowHeight="15" x14ac:dyDescent="0.2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7.710937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6.7109375" style="18" customWidth="1"/>
    <col min="10" max="10" width="1.5703125" style="18" customWidth="1"/>
    <col min="11" max="12" width="15.85546875" style="18" customWidth="1"/>
    <col min="13" max="13" width="17.42578125" style="18" customWidth="1"/>
    <col min="14" max="14" width="17.28515625" style="18" customWidth="1"/>
    <col min="15" max="16384" width="8.7109375" style="18"/>
  </cols>
  <sheetData>
    <row r="1" spans="1:15" ht="6" customHeight="1" x14ac:dyDescent="0.25"/>
    <row r="2" spans="1:15" ht="20.25" x14ac:dyDescent="0.25">
      <c r="A2" s="225" t="s">
        <v>70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5" ht="20.25" x14ac:dyDescent="0.25">
      <c r="A3" s="225" t="s">
        <v>71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</row>
    <row r="4" spans="1:15" ht="20.25" x14ac:dyDescent="0.25">
      <c r="A4" s="225" t="s">
        <v>252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</row>
    <row r="5" spans="1:15" ht="9.9499999999999993" customHeight="1" thickBot="1" x14ac:dyDescent="0.3">
      <c r="G5" s="17"/>
      <c r="H5" s="17"/>
      <c r="I5" s="23"/>
      <c r="J5" s="17"/>
      <c r="K5" s="17"/>
    </row>
    <row r="6" spans="1:15" ht="6.6" customHeight="1" x14ac:dyDescent="0.25">
      <c r="A6" s="175"/>
      <c r="B6" s="188"/>
      <c r="C6" s="188"/>
      <c r="D6" s="188"/>
      <c r="E6" s="188"/>
      <c r="F6" s="188"/>
      <c r="G6" s="189"/>
      <c r="H6" s="189"/>
      <c r="I6" s="189"/>
      <c r="J6" s="189"/>
      <c r="K6" s="190"/>
    </row>
    <row r="7" spans="1:15" ht="47.25" x14ac:dyDescent="0.2">
      <c r="A7" s="177"/>
      <c r="B7" s="98" t="s">
        <v>32</v>
      </c>
      <c r="E7" s="97" t="s">
        <v>149</v>
      </c>
      <c r="G7" s="97" t="s">
        <v>150</v>
      </c>
      <c r="H7" s="17"/>
      <c r="I7" s="97" t="s">
        <v>151</v>
      </c>
      <c r="J7" s="17"/>
      <c r="K7" s="191" t="s">
        <v>156</v>
      </c>
    </row>
    <row r="8" spans="1:15" x14ac:dyDescent="0.25">
      <c r="A8" s="177"/>
      <c r="B8" s="93">
        <v>1000</v>
      </c>
      <c r="C8" s="17" t="s">
        <v>52</v>
      </c>
      <c r="E8" s="19">
        <v>173797.35</v>
      </c>
      <c r="G8" s="19">
        <v>178354.27</v>
      </c>
      <c r="H8" s="17"/>
      <c r="I8" s="19">
        <v>171833.13999999998</v>
      </c>
      <c r="J8" s="17"/>
      <c r="K8" s="192">
        <v>189517.57</v>
      </c>
      <c r="M8" s="20"/>
      <c r="N8" s="19"/>
      <c r="O8" s="19"/>
    </row>
    <row r="9" spans="1:15" x14ac:dyDescent="0.25">
      <c r="A9" s="177"/>
      <c r="B9" s="93">
        <v>1020</v>
      </c>
      <c r="C9" s="17" t="s">
        <v>53</v>
      </c>
      <c r="E9" s="19">
        <v>28937.54</v>
      </c>
      <c r="G9" s="19">
        <v>28937.54</v>
      </c>
      <c r="H9" s="17"/>
      <c r="I9" s="19">
        <v>28937.54</v>
      </c>
      <c r="J9" s="17"/>
      <c r="K9" s="192">
        <v>28937.54</v>
      </c>
      <c r="N9" s="20"/>
    </row>
    <row r="10" spans="1:15" ht="16.5" thickBot="1" x14ac:dyDescent="0.3">
      <c r="A10" s="177"/>
      <c r="B10" s="43" t="s">
        <v>31</v>
      </c>
      <c r="C10" s="43"/>
      <c r="D10" s="43"/>
      <c r="E10" s="62">
        <v>202734.89</v>
      </c>
      <c r="F10" s="43"/>
      <c r="G10" s="62">
        <v>207291.81</v>
      </c>
      <c r="H10" s="17"/>
      <c r="I10" s="62">
        <v>200770.68</v>
      </c>
      <c r="J10" s="17"/>
      <c r="K10" s="193">
        <v>218455.11000000002</v>
      </c>
      <c r="M10" s="20"/>
      <c r="N10" s="20"/>
    </row>
    <row r="11" spans="1:15" ht="16.5" hidden="1" thickTop="1" x14ac:dyDescent="0.25">
      <c r="A11" s="177"/>
      <c r="E11" s="20"/>
      <c r="G11" s="97" t="s">
        <v>24</v>
      </c>
      <c r="H11" s="17"/>
      <c r="I11" s="97" t="s">
        <v>24</v>
      </c>
      <c r="J11" s="17"/>
      <c r="K11" s="191" t="s">
        <v>24</v>
      </c>
    </row>
    <row r="12" spans="1:15" ht="16.5" thickTop="1" x14ac:dyDescent="0.25">
      <c r="A12" s="177"/>
      <c r="C12" s="18" t="s">
        <v>249</v>
      </c>
      <c r="D12" s="43"/>
      <c r="E12" s="219">
        <v>4.4824198541756122E-2</v>
      </c>
      <c r="F12" s="220"/>
      <c r="G12" s="219">
        <v>2.1983116457905294E-2</v>
      </c>
      <c r="H12" s="221"/>
      <c r="I12" s="219">
        <v>-3.2480489681063096E-2</v>
      </c>
      <c r="J12" s="221"/>
      <c r="K12" s="222">
        <v>7.2657502772156768E-2</v>
      </c>
      <c r="L12" s="214"/>
    </row>
    <row r="13" spans="1:15" ht="3.95" customHeight="1" x14ac:dyDescent="0.25">
      <c r="A13" s="177"/>
      <c r="E13" s="20"/>
      <c r="G13" s="20"/>
      <c r="H13" s="17"/>
      <c r="I13" s="17"/>
      <c r="J13" s="17"/>
      <c r="K13" s="195"/>
    </row>
    <row r="14" spans="1:15" x14ac:dyDescent="0.25">
      <c r="A14" s="177"/>
      <c r="B14" s="18" t="s">
        <v>75</v>
      </c>
      <c r="E14" s="20"/>
      <c r="G14" s="20"/>
      <c r="H14" s="17"/>
      <c r="I14" s="17"/>
      <c r="J14" s="17"/>
      <c r="K14" s="194"/>
    </row>
    <row r="15" spans="1:15" x14ac:dyDescent="0.25">
      <c r="A15" s="177"/>
      <c r="C15" s="18" t="s">
        <v>69</v>
      </c>
      <c r="E15" s="19">
        <v>133323.65</v>
      </c>
      <c r="G15" s="19">
        <v>133323.65</v>
      </c>
      <c r="H15" s="17"/>
      <c r="I15" s="19">
        <v>133323.65</v>
      </c>
      <c r="J15" s="17"/>
      <c r="K15" s="192">
        <v>135277.65</v>
      </c>
      <c r="M15" s="20"/>
      <c r="O15" s="122"/>
    </row>
    <row r="16" spans="1:15" x14ac:dyDescent="0.25">
      <c r="A16" s="177"/>
      <c r="C16" s="18" t="s">
        <v>142</v>
      </c>
      <c r="E16" s="20">
        <v>69411.24000000002</v>
      </c>
      <c r="F16" s="20">
        <v>0</v>
      </c>
      <c r="G16" s="20">
        <v>73968.160000000003</v>
      </c>
      <c r="H16" s="20">
        <v>0</v>
      </c>
      <c r="I16" s="20">
        <v>67447.03</v>
      </c>
      <c r="J16" s="20">
        <v>0</v>
      </c>
      <c r="K16" s="180">
        <v>83177.460000000021</v>
      </c>
      <c r="M16" s="20"/>
    </row>
    <row r="17" spans="1:15" x14ac:dyDescent="0.25">
      <c r="A17" s="177"/>
      <c r="B17" s="116"/>
      <c r="C17" s="18" t="s">
        <v>253</v>
      </c>
      <c r="E17" s="20">
        <v>10411.686000000003</v>
      </c>
      <c r="F17" s="20">
        <v>0</v>
      </c>
      <c r="G17" s="20">
        <v>11095.224</v>
      </c>
      <c r="H17" s="20">
        <v>0</v>
      </c>
      <c r="I17" s="20">
        <v>10117.0545</v>
      </c>
      <c r="J17" s="20">
        <v>0</v>
      </c>
      <c r="K17" s="180">
        <v>12476.619000000002</v>
      </c>
      <c r="M17" s="20"/>
      <c r="O17" s="122"/>
    </row>
    <row r="18" spans="1:15" ht="16.5" thickBot="1" x14ac:dyDescent="0.3">
      <c r="A18" s="177"/>
      <c r="B18" s="43" t="s">
        <v>77</v>
      </c>
      <c r="C18" s="43"/>
      <c r="D18" s="43"/>
      <c r="E18" s="62">
        <v>58999.554000000018</v>
      </c>
      <c r="F18" s="62">
        <v>0</v>
      </c>
      <c r="G18" s="62">
        <v>62872.936000000002</v>
      </c>
      <c r="H18" s="62">
        <v>0</v>
      </c>
      <c r="I18" s="62">
        <v>57329.9755</v>
      </c>
      <c r="J18" s="62">
        <v>0</v>
      </c>
      <c r="K18" s="193">
        <v>70700.841000000015</v>
      </c>
      <c r="M18" s="20"/>
    </row>
    <row r="19" spans="1:15" ht="16.5" thickTop="1" x14ac:dyDescent="0.25">
      <c r="A19" s="177"/>
      <c r="B19" s="43"/>
      <c r="C19" s="160" t="s">
        <v>141</v>
      </c>
      <c r="D19" s="43"/>
      <c r="E19" s="120"/>
      <c r="F19" s="120"/>
      <c r="G19" s="120"/>
      <c r="H19" s="120"/>
      <c r="I19" s="120"/>
      <c r="J19" s="120"/>
      <c r="K19" s="196"/>
      <c r="M19" s="20"/>
    </row>
    <row r="20" spans="1:15" ht="15.75" x14ac:dyDescent="0.25">
      <c r="A20" s="177"/>
      <c r="B20" s="43" t="s">
        <v>254</v>
      </c>
      <c r="C20" s="121"/>
      <c r="D20" s="43"/>
      <c r="E20" s="120"/>
      <c r="F20" s="120"/>
      <c r="G20" s="120"/>
      <c r="H20" s="120"/>
      <c r="I20" s="120"/>
      <c r="J20" s="120"/>
      <c r="K20" s="196">
        <v>7506.7700399999994</v>
      </c>
      <c r="M20" s="20"/>
      <c r="N20" s="20"/>
    </row>
    <row r="21" spans="1:15" ht="17.25" customHeight="1" thickBot="1" x14ac:dyDescent="0.3">
      <c r="A21" s="184"/>
      <c r="B21" s="223" t="s">
        <v>255</v>
      </c>
      <c r="C21" s="185"/>
      <c r="D21" s="185"/>
      <c r="E21" s="197"/>
      <c r="F21" s="185"/>
      <c r="G21" s="197"/>
      <c r="H21" s="186"/>
      <c r="I21" s="186"/>
      <c r="J21" s="186"/>
      <c r="K21" s="198"/>
    </row>
    <row r="22" spans="1:15" ht="9.9499999999999993" customHeight="1" thickBot="1" x14ac:dyDescent="0.3">
      <c r="E22" s="23"/>
      <c r="G22" s="23"/>
      <c r="K22" s="89"/>
    </row>
    <row r="23" spans="1:15" ht="25.5" customHeight="1" x14ac:dyDescent="0.25">
      <c r="A23" s="175"/>
      <c r="B23" s="228" t="s">
        <v>37</v>
      </c>
      <c r="C23" s="228"/>
      <c r="D23" s="228"/>
      <c r="E23" s="228"/>
      <c r="F23" s="228"/>
      <c r="G23" s="228"/>
      <c r="H23" s="228"/>
      <c r="I23" s="228"/>
      <c r="J23" s="228"/>
      <c r="K23" s="228"/>
      <c r="L23" s="176"/>
    </row>
    <row r="24" spans="1:15" ht="31.5" x14ac:dyDescent="0.25">
      <c r="A24" s="177"/>
      <c r="B24" s="106" t="s">
        <v>33</v>
      </c>
      <c r="E24" s="227" t="s">
        <v>152</v>
      </c>
      <c r="F24" s="227"/>
      <c r="G24" s="227" t="s">
        <v>153</v>
      </c>
      <c r="H24" s="227"/>
      <c r="I24" s="227" t="s">
        <v>154</v>
      </c>
      <c r="J24" s="227"/>
      <c r="K24" s="217" t="s">
        <v>157</v>
      </c>
      <c r="L24" s="178" t="s">
        <v>155</v>
      </c>
    </row>
    <row r="25" spans="1:15" x14ac:dyDescent="0.25">
      <c r="A25" s="177"/>
      <c r="B25" s="105">
        <v>4000</v>
      </c>
      <c r="C25" s="17" t="s">
        <v>73</v>
      </c>
      <c r="E25" s="173">
        <v>205</v>
      </c>
      <c r="F25" s="19"/>
      <c r="G25" s="173">
        <v>0</v>
      </c>
      <c r="H25" s="19"/>
      <c r="I25" s="173">
        <v>0</v>
      </c>
      <c r="J25" s="19"/>
      <c r="K25" s="173">
        <v>1954</v>
      </c>
      <c r="L25" s="179">
        <v>2159</v>
      </c>
      <c r="M25" s="174"/>
    </row>
    <row r="26" spans="1:15" x14ac:dyDescent="0.25">
      <c r="A26" s="177"/>
      <c r="B26" s="105">
        <v>4010</v>
      </c>
      <c r="C26" s="17" t="s">
        <v>55</v>
      </c>
      <c r="E26" s="173">
        <v>0</v>
      </c>
      <c r="G26" s="19">
        <v>0</v>
      </c>
      <c r="H26" s="17"/>
      <c r="I26" s="19">
        <v>0</v>
      </c>
      <c r="J26" s="17"/>
      <c r="K26" s="20">
        <v>0</v>
      </c>
      <c r="L26" s="180">
        <v>0</v>
      </c>
      <c r="M26" s="20"/>
    </row>
    <row r="27" spans="1:15" x14ac:dyDescent="0.25">
      <c r="A27" s="177"/>
      <c r="B27" s="105">
        <v>4020</v>
      </c>
      <c r="C27" s="17" t="s">
        <v>256</v>
      </c>
      <c r="E27" s="107">
        <v>9078.239999999998</v>
      </c>
      <c r="F27" s="108"/>
      <c r="G27" s="107">
        <v>4556.92</v>
      </c>
      <c r="H27" s="109"/>
      <c r="I27" s="107">
        <v>-6521.1299999999992</v>
      </c>
      <c r="J27" s="109"/>
      <c r="K27" s="110">
        <v>15730.43</v>
      </c>
      <c r="L27" s="181">
        <v>22844.46</v>
      </c>
    </row>
    <row r="28" spans="1:15" ht="20.25" x14ac:dyDescent="0.25">
      <c r="A28" s="177"/>
      <c r="B28" s="43" t="s">
        <v>34</v>
      </c>
      <c r="C28" s="61"/>
      <c r="D28" s="63"/>
      <c r="E28" s="64">
        <v>9283.239999999998</v>
      </c>
      <c r="F28" s="63"/>
      <c r="G28" s="64">
        <v>4556.92</v>
      </c>
      <c r="H28" s="61"/>
      <c r="I28" s="64">
        <v>-6521.1299999999992</v>
      </c>
      <c r="J28" s="65"/>
      <c r="K28" s="64">
        <v>17684.43</v>
      </c>
      <c r="L28" s="182">
        <v>25003.46</v>
      </c>
      <c r="M28" s="20"/>
    </row>
    <row r="29" spans="1:15" ht="7.5" customHeight="1" x14ac:dyDescent="0.25">
      <c r="A29" s="177"/>
      <c r="C29" s="17"/>
      <c r="D29" s="21"/>
      <c r="E29" s="19"/>
      <c r="F29" s="21"/>
      <c r="G29" s="19"/>
      <c r="H29" s="17"/>
      <c r="I29" s="19"/>
      <c r="J29" s="22"/>
      <c r="K29" s="20"/>
      <c r="L29" s="180"/>
    </row>
    <row r="30" spans="1:15" ht="17.25" x14ac:dyDescent="0.25">
      <c r="A30" s="177"/>
      <c r="B30" s="43" t="s">
        <v>35</v>
      </c>
      <c r="C30" s="17"/>
      <c r="D30" s="21"/>
      <c r="E30" s="19"/>
      <c r="F30" s="21"/>
      <c r="G30" s="19"/>
      <c r="H30" s="17"/>
      <c r="I30" s="19"/>
      <c r="J30" s="22"/>
      <c r="K30" s="20"/>
      <c r="L30" s="180"/>
    </row>
    <row r="31" spans="1:15" ht="15.6" customHeight="1" x14ac:dyDescent="0.25">
      <c r="A31" s="177"/>
      <c r="B31" s="105">
        <v>5000</v>
      </c>
      <c r="C31" s="17" t="s">
        <v>39</v>
      </c>
      <c r="E31" s="19">
        <v>0</v>
      </c>
      <c r="G31" s="19">
        <v>0</v>
      </c>
      <c r="H31" s="17"/>
      <c r="I31" s="19">
        <v>0</v>
      </c>
      <c r="J31" s="17"/>
      <c r="K31" s="20">
        <v>0</v>
      </c>
      <c r="L31" s="180">
        <v>0</v>
      </c>
    </row>
    <row r="32" spans="1:15" ht="15.6" customHeight="1" x14ac:dyDescent="0.25">
      <c r="A32" s="177"/>
      <c r="B32" s="105">
        <v>5010</v>
      </c>
      <c r="C32" s="17" t="s">
        <v>56</v>
      </c>
      <c r="E32" s="19">
        <v>0</v>
      </c>
      <c r="G32" s="19">
        <v>0</v>
      </c>
      <c r="H32" s="17"/>
      <c r="I32" s="19">
        <v>0</v>
      </c>
      <c r="J32" s="17"/>
      <c r="K32" s="20">
        <v>0</v>
      </c>
      <c r="L32" s="180">
        <v>0</v>
      </c>
    </row>
    <row r="33" spans="1:14" ht="15.6" customHeight="1" x14ac:dyDescent="0.25">
      <c r="A33" s="177"/>
      <c r="B33" s="105">
        <v>5050</v>
      </c>
      <c r="C33" s="17" t="s">
        <v>74</v>
      </c>
      <c r="E33" s="107">
        <v>0</v>
      </c>
      <c r="F33" s="108"/>
      <c r="G33" s="107">
        <v>0</v>
      </c>
      <c r="H33" s="109"/>
      <c r="I33" s="107">
        <v>0</v>
      </c>
      <c r="J33" s="109"/>
      <c r="K33" s="110">
        <v>0</v>
      </c>
      <c r="L33" s="181">
        <v>0</v>
      </c>
    </row>
    <row r="34" spans="1:14" ht="15.6" customHeight="1" x14ac:dyDescent="0.25">
      <c r="A34" s="177"/>
      <c r="B34" s="43" t="s">
        <v>30</v>
      </c>
      <c r="E34" s="64">
        <v>0</v>
      </c>
      <c r="G34" s="64">
        <v>0</v>
      </c>
      <c r="H34" s="61"/>
      <c r="I34" s="64">
        <v>0</v>
      </c>
      <c r="J34" s="65"/>
      <c r="K34" s="64">
        <v>0</v>
      </c>
      <c r="L34" s="182">
        <v>0</v>
      </c>
      <c r="M34" s="20"/>
      <c r="N34" s="20"/>
    </row>
    <row r="35" spans="1:14" ht="9" customHeight="1" x14ac:dyDescent="0.25">
      <c r="A35" s="177"/>
      <c r="B35" s="43"/>
      <c r="E35" s="64"/>
      <c r="G35" s="64"/>
      <c r="H35" s="61"/>
      <c r="I35" s="64"/>
      <c r="J35" s="65"/>
      <c r="K35" s="64"/>
      <c r="L35" s="182"/>
    </row>
    <row r="36" spans="1:14" ht="15.6" customHeight="1" thickBot="1" x14ac:dyDescent="0.3">
      <c r="A36" s="177"/>
      <c r="B36" s="43" t="s">
        <v>36</v>
      </c>
      <c r="E36" s="66">
        <v>9283.239999999998</v>
      </c>
      <c r="G36" s="66">
        <v>4556.92</v>
      </c>
      <c r="H36" s="61"/>
      <c r="I36" s="66">
        <v>-6521.1299999999992</v>
      </c>
      <c r="J36" s="65"/>
      <c r="K36" s="66">
        <v>17684.43</v>
      </c>
      <c r="L36" s="183">
        <v>25003.46</v>
      </c>
      <c r="M36" s="20"/>
    </row>
    <row r="37" spans="1:14" ht="11.1" customHeight="1" thickTop="1" thickBot="1" x14ac:dyDescent="0.3">
      <c r="A37" s="184"/>
      <c r="B37" s="185"/>
      <c r="C37" s="185"/>
      <c r="D37" s="185"/>
      <c r="E37" s="185"/>
      <c r="F37" s="185"/>
      <c r="G37" s="185"/>
      <c r="H37" s="186"/>
      <c r="I37" s="185"/>
      <c r="J37" s="186"/>
      <c r="K37" s="185"/>
      <c r="L37" s="187"/>
    </row>
    <row r="38" spans="1:14" x14ac:dyDescent="0.25">
      <c r="H38" s="17"/>
      <c r="J38" s="17"/>
      <c r="M38" s="20"/>
    </row>
    <row r="39" spans="1:14" x14ac:dyDescent="0.25">
      <c r="A39" s="18" t="s">
        <v>248</v>
      </c>
      <c r="B39"/>
      <c r="C39"/>
      <c r="D39"/>
      <c r="E39"/>
      <c r="F39"/>
      <c r="G39"/>
      <c r="H39"/>
      <c r="I39"/>
      <c r="J39"/>
      <c r="K39"/>
      <c r="L39"/>
      <c r="M39"/>
    </row>
    <row r="40" spans="1:14" x14ac:dyDescent="0.2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4" x14ac:dyDescent="0.2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4" x14ac:dyDescent="0.2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4" x14ac:dyDescent="0.25">
      <c r="E43" s="17"/>
      <c r="F43"/>
      <c r="G43"/>
      <c r="H43"/>
      <c r="I43"/>
      <c r="J43"/>
      <c r="K43"/>
      <c r="L43"/>
      <c r="M43"/>
    </row>
    <row r="44" spans="1:14" x14ac:dyDescent="0.25">
      <c r="H44" s="17"/>
      <c r="J44" s="17"/>
    </row>
    <row r="45" spans="1:14" x14ac:dyDescent="0.25">
      <c r="H45" s="17"/>
      <c r="J45" s="17"/>
    </row>
    <row r="46" spans="1:14" x14ac:dyDescent="0.25">
      <c r="H46" s="17"/>
      <c r="J46" s="17"/>
    </row>
    <row r="50" spans="4:10" x14ac:dyDescent="0.25">
      <c r="H50" s="17"/>
      <c r="J50" s="17"/>
    </row>
    <row r="51" spans="4:10" x14ac:dyDescent="0.25">
      <c r="H51" s="17"/>
      <c r="J51" s="17"/>
    </row>
    <row r="52" spans="4:10" x14ac:dyDescent="0.25">
      <c r="H52" s="17"/>
      <c r="J52" s="17"/>
    </row>
    <row r="53" spans="4:10" x14ac:dyDescent="0.25">
      <c r="H53" s="17"/>
      <c r="J53" s="17"/>
    </row>
    <row r="54" spans="4:10" x14ac:dyDescent="0.25">
      <c r="E54" s="17"/>
      <c r="G54" s="17"/>
      <c r="H54" s="17"/>
      <c r="J54" s="17"/>
    </row>
    <row r="55" spans="4:10" x14ac:dyDescent="0.25">
      <c r="E55" s="17"/>
      <c r="G55" s="17"/>
      <c r="H55" s="17"/>
      <c r="J55" s="17"/>
    </row>
    <row r="56" spans="4:10" x14ac:dyDescent="0.25">
      <c r="E56" s="17"/>
      <c r="G56" s="17"/>
      <c r="H56" s="17"/>
      <c r="J56" s="17"/>
    </row>
    <row r="57" spans="4:10" x14ac:dyDescent="0.25">
      <c r="E57" s="17"/>
      <c r="G57" s="17"/>
      <c r="H57" s="17"/>
      <c r="J57" s="17"/>
    </row>
    <row r="58" spans="4:10" x14ac:dyDescent="0.25">
      <c r="D58" s="17"/>
      <c r="F58" s="17"/>
      <c r="H58" s="17"/>
      <c r="J58" s="17"/>
    </row>
    <row r="59" spans="4:10" x14ac:dyDescent="0.25">
      <c r="H59" s="17"/>
      <c r="J59" s="17"/>
    </row>
    <row r="60" spans="4:10" x14ac:dyDescent="0.25">
      <c r="H60" s="17"/>
      <c r="J60" s="17"/>
    </row>
    <row r="61" spans="4:10" x14ac:dyDescent="0.25">
      <c r="H61" s="17"/>
      <c r="J61" s="17"/>
    </row>
    <row r="62" spans="4:10" x14ac:dyDescent="0.25">
      <c r="H62" s="17"/>
      <c r="J62" s="17"/>
    </row>
    <row r="63" spans="4:10" x14ac:dyDescent="0.25">
      <c r="H63" s="17"/>
      <c r="J63" s="17"/>
    </row>
    <row r="64" spans="4:10" x14ac:dyDescent="0.25">
      <c r="E64" s="17"/>
      <c r="G64" s="17"/>
      <c r="H64" s="17"/>
      <c r="J64" s="17"/>
    </row>
    <row r="65" spans="5:10" x14ac:dyDescent="0.25">
      <c r="E65" s="17"/>
      <c r="G65" s="17"/>
      <c r="H65" s="17"/>
      <c r="J65" s="17"/>
    </row>
    <row r="66" spans="5:10" x14ac:dyDescent="0.25">
      <c r="E66" s="17"/>
      <c r="G66" s="17"/>
      <c r="H66" s="17"/>
      <c r="J66" s="17"/>
    </row>
    <row r="67" spans="5:10" x14ac:dyDescent="0.25">
      <c r="E67" s="17"/>
      <c r="G67" s="17"/>
      <c r="H67" s="17"/>
      <c r="J67" s="17"/>
    </row>
    <row r="68" spans="5:10" x14ac:dyDescent="0.25">
      <c r="E68" s="17"/>
      <c r="G68" s="17"/>
      <c r="H68" s="17"/>
      <c r="J68" s="17"/>
    </row>
    <row r="69" spans="5:10" x14ac:dyDescent="0.25">
      <c r="E69" s="17"/>
      <c r="G69" s="17"/>
      <c r="H69" s="17"/>
      <c r="J69" s="17"/>
    </row>
    <row r="70" spans="5:10" x14ac:dyDescent="0.25">
      <c r="E70" s="17"/>
      <c r="G70" s="17"/>
      <c r="H70" s="17"/>
      <c r="J70" s="17"/>
    </row>
    <row r="71" spans="5:10" x14ac:dyDescent="0.25">
      <c r="E71" s="17"/>
      <c r="G71" s="17"/>
      <c r="H71" s="17"/>
      <c r="J71" s="17"/>
    </row>
    <row r="72" spans="5:10" x14ac:dyDescent="0.25">
      <c r="E72" s="17"/>
      <c r="G72" s="17"/>
      <c r="H72" s="17"/>
      <c r="J72" s="17"/>
    </row>
    <row r="73" spans="5:10" x14ac:dyDescent="0.25">
      <c r="E73" s="17"/>
      <c r="G73" s="17"/>
      <c r="H73" s="17"/>
      <c r="J73" s="17"/>
    </row>
    <row r="74" spans="5:10" x14ac:dyDescent="0.25">
      <c r="E74" s="17"/>
      <c r="G74" s="17"/>
      <c r="H74" s="17"/>
      <c r="J74" s="17"/>
    </row>
    <row r="75" spans="5:10" x14ac:dyDescent="0.25">
      <c r="E75" s="17"/>
      <c r="G75" s="17"/>
      <c r="H75" s="17"/>
      <c r="J75" s="17"/>
    </row>
    <row r="76" spans="5:10" x14ac:dyDescent="0.25">
      <c r="E76" s="17"/>
      <c r="G76" s="17"/>
      <c r="H76" s="17"/>
      <c r="J76" s="17"/>
    </row>
    <row r="77" spans="5:10" x14ac:dyDescent="0.25">
      <c r="E77" s="17"/>
      <c r="G77" s="17"/>
      <c r="H77" s="17"/>
      <c r="J77" s="17"/>
    </row>
    <row r="78" spans="5:10" x14ac:dyDescent="0.25">
      <c r="E78" s="17"/>
      <c r="G78" s="17"/>
      <c r="H78" s="17"/>
      <c r="J78" s="17"/>
    </row>
    <row r="79" spans="5:10" x14ac:dyDescent="0.25">
      <c r="E79" s="17"/>
      <c r="G79" s="17"/>
      <c r="H79" s="17"/>
      <c r="J79" s="17"/>
    </row>
    <row r="80" spans="5:10" x14ac:dyDescent="0.25">
      <c r="E80" s="17"/>
      <c r="G80" s="17"/>
      <c r="H80" s="17"/>
      <c r="J80" s="17"/>
    </row>
    <row r="81" spans="5:10" x14ac:dyDescent="0.25">
      <c r="E81" s="17"/>
      <c r="G81" s="17"/>
      <c r="H81" s="17"/>
      <c r="J81" s="17"/>
    </row>
    <row r="82" spans="5:10" x14ac:dyDescent="0.25">
      <c r="E82" s="17"/>
      <c r="G82" s="17"/>
      <c r="H82" s="17"/>
      <c r="J82" s="17"/>
    </row>
    <row r="83" spans="5:10" x14ac:dyDescent="0.25">
      <c r="E83" s="17"/>
      <c r="G83" s="17"/>
      <c r="H83" s="17"/>
      <c r="J83" s="17"/>
    </row>
    <row r="84" spans="5:10" x14ac:dyDescent="0.25">
      <c r="E84" s="17"/>
      <c r="G84" s="17"/>
      <c r="H84" s="17"/>
      <c r="J84" s="17"/>
    </row>
    <row r="85" spans="5:10" x14ac:dyDescent="0.25">
      <c r="E85" s="17"/>
      <c r="G85" s="17"/>
      <c r="H85" s="17"/>
      <c r="J85" s="17"/>
    </row>
    <row r="86" spans="5:10" x14ac:dyDescent="0.25">
      <c r="E86" s="17"/>
      <c r="G86" s="17"/>
      <c r="H86" s="17"/>
      <c r="J86" s="17"/>
    </row>
    <row r="87" spans="5:10" x14ac:dyDescent="0.25">
      <c r="E87" s="17"/>
      <c r="G87" s="17"/>
      <c r="H87" s="17"/>
      <c r="J87" s="17"/>
    </row>
    <row r="88" spans="5:10" x14ac:dyDescent="0.25">
      <c r="E88" s="17"/>
      <c r="G88" s="17"/>
      <c r="H88" s="17"/>
      <c r="J88" s="17"/>
    </row>
    <row r="89" spans="5:10" x14ac:dyDescent="0.25">
      <c r="E89" s="17"/>
      <c r="G89" s="17"/>
      <c r="H89" s="17"/>
      <c r="J89" s="17"/>
    </row>
    <row r="90" spans="5:10" x14ac:dyDescent="0.25">
      <c r="H90" s="17"/>
      <c r="J90" s="17"/>
    </row>
    <row r="91" spans="5:10" x14ac:dyDescent="0.25">
      <c r="E91" s="17"/>
      <c r="G91" s="17"/>
      <c r="H91" s="17"/>
      <c r="J91" s="17"/>
    </row>
    <row r="92" spans="5:10" x14ac:dyDescent="0.25">
      <c r="E92" s="17"/>
      <c r="G92" s="17"/>
      <c r="H92" s="17"/>
      <c r="J92" s="17"/>
    </row>
    <row r="93" spans="5:10" x14ac:dyDescent="0.25">
      <c r="E93" s="17"/>
      <c r="G93" s="17"/>
      <c r="H93" s="17"/>
      <c r="J93" s="17"/>
    </row>
    <row r="94" spans="5:10" x14ac:dyDescent="0.25">
      <c r="E94" s="17"/>
      <c r="G94" s="17"/>
      <c r="H94" s="17"/>
      <c r="J94" s="17"/>
    </row>
    <row r="95" spans="5:10" x14ac:dyDescent="0.25">
      <c r="E95" s="17"/>
      <c r="G95" s="17"/>
      <c r="H95" s="17"/>
      <c r="J95" s="17"/>
    </row>
    <row r="96" spans="5:10" x14ac:dyDescent="0.25">
      <c r="E96" s="17"/>
      <c r="G96" s="17"/>
      <c r="H96" s="17"/>
      <c r="J96" s="17"/>
    </row>
    <row r="97" spans="5:10" x14ac:dyDescent="0.25">
      <c r="H97" s="17"/>
      <c r="J97" s="17"/>
    </row>
    <row r="98" spans="5:10" x14ac:dyDescent="0.25">
      <c r="H98" s="17"/>
      <c r="J98" s="17"/>
    </row>
    <row r="99" spans="5:10" x14ac:dyDescent="0.25">
      <c r="H99" s="17"/>
      <c r="J99" s="17"/>
    </row>
    <row r="100" spans="5:10" x14ac:dyDescent="0.25">
      <c r="H100" s="17"/>
      <c r="J100" s="17"/>
    </row>
    <row r="101" spans="5:10" x14ac:dyDescent="0.25">
      <c r="H101" s="17"/>
      <c r="J101" s="17"/>
    </row>
    <row r="102" spans="5:10" x14ac:dyDescent="0.25">
      <c r="H102" s="17"/>
      <c r="J102" s="17"/>
    </row>
    <row r="103" spans="5:10" x14ac:dyDescent="0.25">
      <c r="H103" s="17"/>
      <c r="J103" s="17"/>
    </row>
    <row r="104" spans="5:10" x14ac:dyDescent="0.25">
      <c r="E104" s="17"/>
      <c r="G104" s="17"/>
      <c r="H104" s="17"/>
      <c r="J104" s="17"/>
    </row>
    <row r="105" spans="5:10" x14ac:dyDescent="0.25">
      <c r="H105" s="17"/>
      <c r="J105" s="17"/>
    </row>
    <row r="106" spans="5:10" x14ac:dyDescent="0.25">
      <c r="H106" s="17"/>
      <c r="J106" s="17"/>
    </row>
    <row r="111" spans="5:10" x14ac:dyDescent="0.25">
      <c r="E111" s="17"/>
      <c r="G111" s="17"/>
      <c r="H111" s="17"/>
      <c r="J111" s="17"/>
    </row>
    <row r="112" spans="5:10" x14ac:dyDescent="0.25">
      <c r="E112" s="17"/>
      <c r="G112" s="17"/>
      <c r="H112" s="17"/>
      <c r="J112" s="17"/>
    </row>
    <row r="113" spans="5:10" x14ac:dyDescent="0.25">
      <c r="E113" s="17"/>
      <c r="G113" s="17"/>
    </row>
    <row r="114" spans="5:10" x14ac:dyDescent="0.25">
      <c r="H114" s="17"/>
      <c r="J114" s="17"/>
    </row>
    <row r="119" spans="5:10" x14ac:dyDescent="0.25">
      <c r="H119" s="17"/>
      <c r="J119" s="17"/>
    </row>
    <row r="127" spans="5:10" x14ac:dyDescent="0.25">
      <c r="H127" s="17"/>
      <c r="J127" s="17"/>
    </row>
    <row r="129" spans="5:10" x14ac:dyDescent="0.25">
      <c r="H129" s="17"/>
      <c r="J129" s="17"/>
    </row>
    <row r="130" spans="5:10" x14ac:dyDescent="0.25">
      <c r="H130" s="17"/>
      <c r="J130" s="17"/>
    </row>
    <row r="131" spans="5:10" x14ac:dyDescent="0.25">
      <c r="H131" s="17"/>
      <c r="J131" s="17"/>
    </row>
    <row r="132" spans="5:10" x14ac:dyDescent="0.25">
      <c r="H132" s="17"/>
      <c r="J132" s="17"/>
    </row>
    <row r="133" spans="5:10" x14ac:dyDescent="0.25">
      <c r="H133" s="17"/>
      <c r="J133" s="17"/>
    </row>
    <row r="134" spans="5:10" x14ac:dyDescent="0.25">
      <c r="E134" s="17"/>
      <c r="G134" s="17"/>
      <c r="H134" s="17"/>
      <c r="J134" s="17"/>
    </row>
    <row r="135" spans="5:10" x14ac:dyDescent="0.25">
      <c r="E135" s="17"/>
      <c r="G135" s="17"/>
      <c r="H135" s="17"/>
      <c r="J135" s="17"/>
    </row>
    <row r="136" spans="5:10" x14ac:dyDescent="0.25">
      <c r="E136" s="17"/>
      <c r="G136" s="17"/>
      <c r="H136" s="17"/>
      <c r="J136" s="17"/>
    </row>
    <row r="137" spans="5:10" x14ac:dyDescent="0.25">
      <c r="E137" s="17"/>
      <c r="G137" s="17"/>
      <c r="H137" s="17"/>
      <c r="J137" s="17"/>
    </row>
    <row r="138" spans="5:10" x14ac:dyDescent="0.25">
      <c r="H138" s="17"/>
      <c r="J138" s="17"/>
    </row>
    <row r="139" spans="5:10" x14ac:dyDescent="0.25">
      <c r="H139" s="17"/>
      <c r="J139" s="17"/>
    </row>
    <row r="140" spans="5:10" x14ac:dyDescent="0.25">
      <c r="H140" s="17"/>
      <c r="J140" s="17"/>
    </row>
    <row r="141" spans="5:10" x14ac:dyDescent="0.25">
      <c r="H141" s="17"/>
      <c r="J141" s="17"/>
    </row>
    <row r="142" spans="5:10" x14ac:dyDescent="0.25">
      <c r="H142" s="17"/>
      <c r="J142" s="17"/>
    </row>
    <row r="143" spans="5:10" x14ac:dyDescent="0.25">
      <c r="H143" s="17"/>
      <c r="J143" s="17"/>
    </row>
    <row r="144" spans="5:10" x14ac:dyDescent="0.25">
      <c r="H144" s="17"/>
      <c r="J144" s="17"/>
    </row>
    <row r="145" spans="8:10" x14ac:dyDescent="0.25">
      <c r="H145" s="17"/>
      <c r="J145" s="17"/>
    </row>
    <row r="149" spans="8:10" x14ac:dyDescent="0.25">
      <c r="H149" s="17"/>
      <c r="J149" s="17"/>
    </row>
    <row r="151" spans="8:10" x14ac:dyDescent="0.25">
      <c r="H151" s="17"/>
      <c r="J151" s="17"/>
    </row>
    <row r="155" spans="8:10" x14ac:dyDescent="0.25">
      <c r="H155" s="17"/>
      <c r="J155" s="17"/>
    </row>
    <row r="163" spans="8:10" x14ac:dyDescent="0.25">
      <c r="H163" s="17"/>
      <c r="J163" s="17"/>
    </row>
    <row r="164" spans="8:10" x14ac:dyDescent="0.25">
      <c r="H164" s="17"/>
      <c r="J164" s="17"/>
    </row>
    <row r="167" spans="8:10" x14ac:dyDescent="0.25">
      <c r="H167" s="17"/>
      <c r="J167" s="17"/>
    </row>
    <row r="173" spans="8:10" x14ac:dyDescent="0.25">
      <c r="H173" s="17"/>
      <c r="J173" s="17"/>
    </row>
    <row r="174" spans="8:10" x14ac:dyDescent="0.25">
      <c r="H174" s="17"/>
      <c r="J174" s="17"/>
    </row>
    <row r="175" spans="8:10" x14ac:dyDescent="0.25">
      <c r="H175" s="17"/>
      <c r="J175" s="17"/>
    </row>
    <row r="189" spans="8:10" x14ac:dyDescent="0.25">
      <c r="H189" s="17"/>
      <c r="J189" s="17"/>
    </row>
    <row r="204" spans="8:10" x14ac:dyDescent="0.25">
      <c r="H204" s="17"/>
      <c r="J204" s="17"/>
    </row>
    <row r="230" spans="8:10" x14ac:dyDescent="0.25">
      <c r="H230" s="17"/>
      <c r="J230" s="17"/>
    </row>
  </sheetData>
  <mergeCells count="7">
    <mergeCell ref="A2:L2"/>
    <mergeCell ref="A3:L3"/>
    <mergeCell ref="B23:K23"/>
    <mergeCell ref="E24:F24"/>
    <mergeCell ref="G24:H24"/>
    <mergeCell ref="I24:J24"/>
    <mergeCell ref="A4:L4"/>
  </mergeCells>
  <printOptions horizontalCentered="1"/>
  <pageMargins left="0.45" right="0.45" top="0.5" bottom="0.5" header="0.3" footer="0.3"/>
  <pageSetup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E15"/>
  <sheetViews>
    <sheetView showGridLines="0" workbookViewId="0"/>
  </sheetViews>
  <sheetFormatPr defaultColWidth="8.7109375" defaultRowHeight="15" x14ac:dyDescent="0.25"/>
  <cols>
    <col min="1" max="1" width="13.28515625" style="1" customWidth="1"/>
    <col min="2" max="2" width="7.5703125" style="1" customWidth="1"/>
    <col min="3" max="3" width="9.42578125" style="1" bestFit="1" customWidth="1"/>
    <col min="4" max="4" width="19.85546875" style="1" customWidth="1"/>
    <col min="5" max="5" width="10.5703125" style="1" customWidth="1"/>
    <col min="6" max="16384" width="8.7109375" style="1"/>
  </cols>
  <sheetData>
    <row r="2" spans="1:5" x14ac:dyDescent="0.25">
      <c r="A2" s="163"/>
    </row>
    <row r="3" spans="1:5" ht="15.75" x14ac:dyDescent="0.25">
      <c r="A3" s="166" t="s">
        <v>143</v>
      </c>
      <c r="B3" s="171">
        <v>2023</v>
      </c>
    </row>
    <row r="4" spans="1:5" ht="15.75" x14ac:dyDescent="0.25">
      <c r="A4" s="166"/>
      <c r="B4" s="44"/>
    </row>
    <row r="5" spans="1:5" ht="15.75" x14ac:dyDescent="0.25">
      <c r="A5" s="166" t="s">
        <v>144</v>
      </c>
    </row>
    <row r="6" spans="1:5" ht="15.75" x14ac:dyDescent="0.25">
      <c r="A6" s="166" t="s">
        <v>145</v>
      </c>
      <c r="B6" s="171">
        <v>4</v>
      </c>
      <c r="C6" s="1" t="str">
        <f>VLOOKUP(CurrQtr,LKQtr,2)&amp;" - "&amp;VLOOKUP(CurrQtr,LKQtr,4)</f>
        <v>October - December</v>
      </c>
    </row>
    <row r="8" spans="1:5" ht="15.75" x14ac:dyDescent="0.25">
      <c r="A8" s="1" t="s">
        <v>76</v>
      </c>
      <c r="E8" s="165">
        <v>0.15</v>
      </c>
    </row>
    <row r="9" spans="1:5" ht="15.75" x14ac:dyDescent="0.25">
      <c r="E9" s="166"/>
    </row>
    <row r="10" spans="1:5" ht="15.75" x14ac:dyDescent="0.25">
      <c r="A10" s="1" t="s">
        <v>250</v>
      </c>
      <c r="E10" s="165">
        <v>0.04</v>
      </c>
    </row>
    <row r="11" spans="1:5" x14ac:dyDescent="0.25">
      <c r="E11" s="163"/>
    </row>
    <row r="12" spans="1:5" ht="15.75" x14ac:dyDescent="0.25">
      <c r="A12" s="1" t="s">
        <v>251</v>
      </c>
      <c r="E12" s="164">
        <v>20</v>
      </c>
    </row>
    <row r="13" spans="1:5" x14ac:dyDescent="0.25">
      <c r="E13" s="163"/>
    </row>
    <row r="14" spans="1:5" x14ac:dyDescent="0.25">
      <c r="E14" s="163"/>
    </row>
    <row r="15" spans="1:5" x14ac:dyDescent="0.25">
      <c r="E15" s="16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L51"/>
  <sheetViews>
    <sheetView showGridLines="0" zoomScale="80" zoomScaleNormal="80" workbookViewId="0">
      <selection sqref="A1:J1"/>
    </sheetView>
  </sheetViews>
  <sheetFormatPr defaultColWidth="8.7109375" defaultRowHeight="15" x14ac:dyDescent="0.2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87" customWidth="1"/>
    <col min="5" max="5" width="32.85546875" style="87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59.85546875" style="71" customWidth="1"/>
    <col min="11" max="11" width="9.140625" style="2" bestFit="1" customWidth="1"/>
    <col min="12" max="16384" width="8.7109375" style="2"/>
  </cols>
  <sheetData>
    <row r="1" spans="1:12" s="18" customFormat="1" ht="20.25" x14ac:dyDescent="0.25">
      <c r="A1" s="225" t="s">
        <v>70</v>
      </c>
      <c r="B1" s="225"/>
      <c r="C1" s="225"/>
      <c r="D1" s="225"/>
      <c r="E1" s="225"/>
      <c r="F1" s="225"/>
      <c r="G1" s="225"/>
      <c r="H1" s="225"/>
      <c r="I1" s="225"/>
      <c r="J1" s="225"/>
      <c r="K1" s="128"/>
      <c r="L1" s="128"/>
    </row>
    <row r="2" spans="1:12" s="18" customFormat="1" ht="20.25" x14ac:dyDescent="0.25">
      <c r="A2" s="225" t="s">
        <v>71</v>
      </c>
      <c r="B2" s="225"/>
      <c r="C2" s="225"/>
      <c r="D2" s="225"/>
      <c r="E2" s="225"/>
      <c r="F2" s="225"/>
      <c r="G2" s="225"/>
      <c r="H2" s="225"/>
      <c r="I2" s="225"/>
      <c r="J2" s="225"/>
      <c r="K2" s="128"/>
      <c r="L2" s="128"/>
    </row>
    <row r="3" spans="1:12" ht="23.25" x14ac:dyDescent="0.25">
      <c r="B3" s="231" t="str">
        <f>+'Top Level'!B3&amp;" Detail of Transactions"</f>
        <v>2023 Detail of Transactions</v>
      </c>
      <c r="C3" s="231"/>
      <c r="D3" s="231"/>
      <c r="E3" s="231"/>
      <c r="F3" s="231"/>
      <c r="G3" s="231"/>
      <c r="H3" s="231"/>
      <c r="I3" s="231"/>
      <c r="J3" s="231"/>
    </row>
    <row r="4" spans="1:12" ht="11.45" customHeight="1" x14ac:dyDescent="0.25">
      <c r="B4" s="232"/>
      <c r="C4" s="232"/>
      <c r="D4" s="232"/>
      <c r="E4" s="232"/>
      <c r="F4" s="232"/>
      <c r="G4" s="232"/>
      <c r="H4" s="232"/>
      <c r="I4" s="232"/>
      <c r="J4" s="232"/>
    </row>
    <row r="5" spans="1:12" ht="22.5" customHeight="1" x14ac:dyDescent="0.25">
      <c r="B5" s="229" t="s">
        <v>14</v>
      </c>
      <c r="C5" s="229" t="s">
        <v>59</v>
      </c>
      <c r="D5" s="229" t="s">
        <v>146</v>
      </c>
      <c r="E5" s="229" t="s">
        <v>57</v>
      </c>
      <c r="F5" s="229" t="s">
        <v>11</v>
      </c>
      <c r="G5" s="229" t="s">
        <v>12</v>
      </c>
      <c r="H5" s="233" t="s">
        <v>60</v>
      </c>
      <c r="I5" s="233"/>
      <c r="J5" s="51"/>
      <c r="K5" s="229" t="s">
        <v>136</v>
      </c>
    </row>
    <row r="6" spans="1:12" ht="29.1" customHeight="1" x14ac:dyDescent="0.25">
      <c r="B6" s="230"/>
      <c r="C6" s="230"/>
      <c r="D6" s="230"/>
      <c r="E6" s="230"/>
      <c r="F6" s="230"/>
      <c r="G6" s="230"/>
      <c r="H6" s="68" t="s">
        <v>5</v>
      </c>
      <c r="I6" s="68" t="s">
        <v>7</v>
      </c>
      <c r="J6" s="72" t="s">
        <v>2</v>
      </c>
      <c r="K6" s="230"/>
    </row>
    <row r="7" spans="1:12" s="148" customFormat="1" ht="15.75" x14ac:dyDescent="0.25">
      <c r="B7" s="149" t="s">
        <v>15</v>
      </c>
      <c r="C7" s="150"/>
      <c r="D7" s="151">
        <v>1000</v>
      </c>
      <c r="E7" s="152" t="str">
        <f t="shared" ref="E7:E33" si="0">IF($D7="","",VLOOKUP($D7,Chart,2,0))</f>
        <v>Fidelity Investments</v>
      </c>
      <c r="F7" s="153">
        <v>4000</v>
      </c>
      <c r="G7" s="152" t="str">
        <f t="shared" ref="G7:G33" si="1">IF($F7="","",VLOOKUP($F7,Chart,2,0))</f>
        <v>Contributions (Principal Increase)</v>
      </c>
      <c r="H7" s="154">
        <v>30</v>
      </c>
      <c r="I7" s="154"/>
      <c r="J7" s="155" t="s">
        <v>158</v>
      </c>
      <c r="K7" s="162" t="s">
        <v>161</v>
      </c>
    </row>
    <row r="8" spans="1:12" s="148" customFormat="1" ht="15.75" x14ac:dyDescent="0.25">
      <c r="B8" s="149" t="s">
        <v>15</v>
      </c>
      <c r="C8" s="150"/>
      <c r="D8" s="153">
        <v>1000</v>
      </c>
      <c r="E8" s="152" t="str">
        <f t="shared" si="0"/>
        <v>Fidelity Investments</v>
      </c>
      <c r="F8" s="153">
        <v>4000</v>
      </c>
      <c r="G8" s="152" t="str">
        <f t="shared" si="1"/>
        <v>Contributions (Principal Increase)</v>
      </c>
      <c r="H8" s="154">
        <v>50</v>
      </c>
      <c r="I8" s="154"/>
      <c r="J8" s="155" t="s">
        <v>147</v>
      </c>
      <c r="K8" s="162" t="s">
        <v>161</v>
      </c>
    </row>
    <row r="9" spans="1:12" s="148" customFormat="1" ht="15.75" x14ac:dyDescent="0.25">
      <c r="B9" s="149" t="s">
        <v>15</v>
      </c>
      <c r="C9" s="150"/>
      <c r="D9" s="153">
        <v>1000</v>
      </c>
      <c r="E9" s="152" t="str">
        <f t="shared" si="0"/>
        <v>Fidelity Investments</v>
      </c>
      <c r="F9" s="153">
        <v>4000</v>
      </c>
      <c r="G9" s="152" t="str">
        <f t="shared" si="1"/>
        <v>Contributions (Principal Increase)</v>
      </c>
      <c r="H9" s="154">
        <v>100</v>
      </c>
      <c r="I9" s="154"/>
      <c r="J9" s="155" t="s">
        <v>159</v>
      </c>
      <c r="K9" s="162" t="s">
        <v>161</v>
      </c>
    </row>
    <row r="10" spans="1:12" s="148" customFormat="1" ht="15.75" x14ac:dyDescent="0.25">
      <c r="B10" s="149" t="s">
        <v>15</v>
      </c>
      <c r="C10" s="150"/>
      <c r="D10" s="153">
        <v>1000</v>
      </c>
      <c r="E10" s="152" t="str">
        <f t="shared" si="0"/>
        <v>Fidelity Investments</v>
      </c>
      <c r="F10" s="153">
        <v>4000</v>
      </c>
      <c r="G10" s="152" t="str">
        <f t="shared" si="1"/>
        <v>Contributions (Principal Increase)</v>
      </c>
      <c r="H10" s="154">
        <v>25</v>
      </c>
      <c r="I10" s="154"/>
      <c r="J10" s="155" t="s">
        <v>160</v>
      </c>
      <c r="K10" s="162" t="s">
        <v>161</v>
      </c>
    </row>
    <row r="11" spans="1:12" s="148" customFormat="1" ht="15.75" x14ac:dyDescent="0.25">
      <c r="B11" s="149" t="s">
        <v>15</v>
      </c>
      <c r="C11" s="150"/>
      <c r="D11" s="153">
        <v>1000</v>
      </c>
      <c r="E11" s="152" t="str">
        <f t="shared" si="0"/>
        <v>Fidelity Investments</v>
      </c>
      <c r="F11" s="153">
        <v>4020</v>
      </c>
      <c r="G11" s="152" t="str">
        <f t="shared" si="1"/>
        <v>Change in Investment Value</v>
      </c>
      <c r="H11" s="154">
        <v>10006.879999999999</v>
      </c>
      <c r="I11" s="154"/>
      <c r="J11" s="155" t="s">
        <v>162</v>
      </c>
      <c r="K11" s="162"/>
    </row>
    <row r="12" spans="1:12" s="148" customFormat="1" ht="15.75" x14ac:dyDescent="0.25">
      <c r="B12" s="149" t="s">
        <v>16</v>
      </c>
      <c r="C12" s="150"/>
      <c r="D12" s="153">
        <v>1000</v>
      </c>
      <c r="E12" s="152" t="str">
        <f t="shared" si="0"/>
        <v>Fidelity Investments</v>
      </c>
      <c r="F12" s="153">
        <v>4020</v>
      </c>
      <c r="G12" s="152" t="str">
        <f t="shared" si="1"/>
        <v>Change in Investment Value</v>
      </c>
      <c r="H12" s="154">
        <v>-5188.0200000000004</v>
      </c>
      <c r="I12" s="154"/>
      <c r="J12" s="155" t="s">
        <v>163</v>
      </c>
      <c r="K12" s="162"/>
    </row>
    <row r="13" spans="1:12" s="148" customFormat="1" ht="15.75" x14ac:dyDescent="0.25">
      <c r="B13" s="149" t="s">
        <v>17</v>
      </c>
      <c r="C13" s="150"/>
      <c r="D13" s="153">
        <v>1000</v>
      </c>
      <c r="E13" s="152" t="str">
        <f t="shared" si="0"/>
        <v>Fidelity Investments</v>
      </c>
      <c r="F13" s="153">
        <v>4020</v>
      </c>
      <c r="G13" s="152" t="str">
        <f t="shared" si="1"/>
        <v>Change in Investment Value</v>
      </c>
      <c r="H13" s="154">
        <v>4259.38</v>
      </c>
      <c r="I13" s="154"/>
      <c r="J13" s="155" t="s">
        <v>164</v>
      </c>
      <c r="K13" s="162"/>
    </row>
    <row r="14" spans="1:12" s="148" customFormat="1" ht="15.75" x14ac:dyDescent="0.25">
      <c r="B14" s="149" t="s">
        <v>18</v>
      </c>
      <c r="C14" s="150"/>
      <c r="D14" s="153">
        <v>1000</v>
      </c>
      <c r="E14" s="152" t="str">
        <f t="shared" si="0"/>
        <v>Fidelity Investments</v>
      </c>
      <c r="F14" s="153">
        <v>4020</v>
      </c>
      <c r="G14" s="152" t="str">
        <f t="shared" si="1"/>
        <v>Change in Investment Value</v>
      </c>
      <c r="H14" s="154">
        <v>1658.65</v>
      </c>
      <c r="I14" s="154"/>
      <c r="J14" s="155" t="s">
        <v>165</v>
      </c>
      <c r="K14" s="162"/>
    </row>
    <row r="15" spans="1:12" s="148" customFormat="1" ht="15.75" x14ac:dyDescent="0.25">
      <c r="B15" s="149" t="s">
        <v>19</v>
      </c>
      <c r="C15" s="150"/>
      <c r="D15" s="153">
        <v>1000</v>
      </c>
      <c r="E15" s="152" t="str">
        <f t="shared" si="0"/>
        <v>Fidelity Investments</v>
      </c>
      <c r="F15" s="153">
        <v>4020</v>
      </c>
      <c r="G15" s="152" t="str">
        <f t="shared" si="1"/>
        <v>Change in Investment Value</v>
      </c>
      <c r="H15" s="154">
        <v>-1913.38</v>
      </c>
      <c r="I15" s="154"/>
      <c r="J15" s="155" t="s">
        <v>166</v>
      </c>
      <c r="K15" s="162"/>
    </row>
    <row r="16" spans="1:12" s="148" customFormat="1" ht="15.75" x14ac:dyDescent="0.25">
      <c r="B16" s="149" t="s">
        <v>20</v>
      </c>
      <c r="C16" s="150"/>
      <c r="D16" s="153">
        <v>1000</v>
      </c>
      <c r="E16" s="152" t="str">
        <f t="shared" si="0"/>
        <v>Fidelity Investments</v>
      </c>
      <c r="F16" s="153">
        <v>4020</v>
      </c>
      <c r="G16" s="152" t="str">
        <f t="shared" si="1"/>
        <v>Change in Investment Value</v>
      </c>
      <c r="H16" s="154">
        <v>4811.6499999999996</v>
      </c>
      <c r="I16" s="154"/>
      <c r="J16" s="155" t="s">
        <v>167</v>
      </c>
      <c r="K16" s="162"/>
    </row>
    <row r="17" spans="2:11" s="148" customFormat="1" ht="15.75" x14ac:dyDescent="0.25">
      <c r="B17" s="149" t="s">
        <v>21</v>
      </c>
      <c r="C17" s="150"/>
      <c r="D17" s="153">
        <v>1000</v>
      </c>
      <c r="E17" s="152" t="str">
        <f t="shared" si="0"/>
        <v>Fidelity Investments</v>
      </c>
      <c r="F17" s="153">
        <v>4020</v>
      </c>
      <c r="G17" s="152" t="str">
        <f t="shared" si="1"/>
        <v>Change in Investment Value</v>
      </c>
      <c r="H17" s="154">
        <v>3442.53</v>
      </c>
      <c r="I17" s="154"/>
      <c r="J17" s="155" t="s">
        <v>168</v>
      </c>
      <c r="K17" s="162"/>
    </row>
    <row r="18" spans="2:11" s="148" customFormat="1" ht="15.75" x14ac:dyDescent="0.25">
      <c r="B18" s="149" t="s">
        <v>22</v>
      </c>
      <c r="C18" s="150"/>
      <c r="D18" s="153">
        <v>1000</v>
      </c>
      <c r="E18" s="152" t="str">
        <f t="shared" si="0"/>
        <v>Fidelity Investments</v>
      </c>
      <c r="F18" s="153">
        <v>4020</v>
      </c>
      <c r="G18" s="152" t="str">
        <f t="shared" si="1"/>
        <v>Change in Investment Value</v>
      </c>
      <c r="H18" s="154">
        <v>-3817.17</v>
      </c>
      <c r="I18" s="154"/>
      <c r="J18" s="155" t="s">
        <v>169</v>
      </c>
      <c r="K18" s="162"/>
    </row>
    <row r="19" spans="2:11" s="148" customFormat="1" ht="15.75" x14ac:dyDescent="0.25">
      <c r="B19" s="149" t="s">
        <v>23</v>
      </c>
      <c r="C19" s="150"/>
      <c r="D19" s="153">
        <v>1000</v>
      </c>
      <c r="E19" s="152" t="str">
        <f t="shared" si="0"/>
        <v>Fidelity Investments</v>
      </c>
      <c r="F19" s="153">
        <v>4020</v>
      </c>
      <c r="G19" s="152" t="str">
        <f t="shared" si="1"/>
        <v>Change in Investment Value</v>
      </c>
      <c r="H19" s="154">
        <v>-6146.49</v>
      </c>
      <c r="I19" s="154"/>
      <c r="J19" s="155" t="s">
        <v>170</v>
      </c>
      <c r="K19" s="162"/>
    </row>
    <row r="20" spans="2:11" s="148" customFormat="1" ht="15.75" x14ac:dyDescent="0.25">
      <c r="B20" s="149" t="s">
        <v>24</v>
      </c>
      <c r="C20" s="150"/>
      <c r="D20" s="153">
        <v>1000</v>
      </c>
      <c r="E20" s="152" t="str">
        <f t="shared" si="0"/>
        <v>Fidelity Investments</v>
      </c>
      <c r="F20" s="153">
        <v>4000</v>
      </c>
      <c r="G20" s="152" t="str">
        <f t="shared" si="1"/>
        <v>Contributions (Principal Increase)</v>
      </c>
      <c r="H20" s="154">
        <v>25</v>
      </c>
      <c r="I20" s="154"/>
      <c r="J20" s="155" t="s">
        <v>171</v>
      </c>
      <c r="K20" s="162"/>
    </row>
    <row r="21" spans="2:11" s="148" customFormat="1" ht="15.75" x14ac:dyDescent="0.25">
      <c r="B21" s="149" t="s">
        <v>24</v>
      </c>
      <c r="C21" s="150"/>
      <c r="D21" s="153">
        <v>1000</v>
      </c>
      <c r="E21" s="152" t="str">
        <f t="shared" si="0"/>
        <v>Fidelity Investments</v>
      </c>
      <c r="F21" s="153">
        <v>4020</v>
      </c>
      <c r="G21" s="152" t="str">
        <f t="shared" si="1"/>
        <v>Change in Investment Value</v>
      </c>
      <c r="H21" s="154">
        <v>-4227.93</v>
      </c>
      <c r="I21" s="154"/>
      <c r="J21" s="155" t="s">
        <v>244</v>
      </c>
      <c r="K21" s="162"/>
    </row>
    <row r="22" spans="2:11" s="148" customFormat="1" ht="15.75" x14ac:dyDescent="0.25">
      <c r="B22" s="149" t="s">
        <v>13</v>
      </c>
      <c r="C22" s="150"/>
      <c r="D22" s="153">
        <v>1000</v>
      </c>
      <c r="E22" s="152" t="str">
        <f t="shared" si="0"/>
        <v>Fidelity Investments</v>
      </c>
      <c r="F22" s="153">
        <v>4000</v>
      </c>
      <c r="G22" s="152" t="str">
        <f t="shared" si="1"/>
        <v>Contributions (Principal Increase)</v>
      </c>
      <c r="H22" s="154">
        <v>1929</v>
      </c>
      <c r="I22" s="154"/>
      <c r="J22" s="155" t="s">
        <v>172</v>
      </c>
      <c r="K22" s="162"/>
    </row>
    <row r="23" spans="2:11" s="148" customFormat="1" ht="15.75" x14ac:dyDescent="0.25">
      <c r="B23" s="149" t="s">
        <v>13</v>
      </c>
      <c r="C23" s="150"/>
      <c r="D23" s="153">
        <v>1000</v>
      </c>
      <c r="E23" s="152" t="str">
        <f t="shared" si="0"/>
        <v>Fidelity Investments</v>
      </c>
      <c r="F23" s="153">
        <v>4020</v>
      </c>
      <c r="G23" s="152" t="str">
        <f t="shared" si="1"/>
        <v>Change in Investment Value</v>
      </c>
      <c r="H23" s="154">
        <v>11391.17</v>
      </c>
      <c r="I23" s="154"/>
      <c r="J23" s="155" t="s">
        <v>246</v>
      </c>
      <c r="K23" s="162"/>
    </row>
    <row r="24" spans="2:11" s="148" customFormat="1" ht="15.75" x14ac:dyDescent="0.25">
      <c r="B24" s="149" t="s">
        <v>25</v>
      </c>
      <c r="C24" s="150"/>
      <c r="D24" s="153">
        <v>1000</v>
      </c>
      <c r="E24" s="152" t="str">
        <f t="shared" si="0"/>
        <v>Fidelity Investments</v>
      </c>
      <c r="F24" s="153">
        <v>4020</v>
      </c>
      <c r="G24" s="152" t="str">
        <f t="shared" si="1"/>
        <v>Change in Investment Value</v>
      </c>
      <c r="H24" s="154">
        <v>8567.19</v>
      </c>
      <c r="I24" s="154"/>
      <c r="J24" s="155" t="s">
        <v>245</v>
      </c>
      <c r="K24" s="162"/>
    </row>
    <row r="25" spans="2:11" s="148" customFormat="1" ht="15.75" x14ac:dyDescent="0.25">
      <c r="B25" s="149"/>
      <c r="C25" s="150"/>
      <c r="D25" s="153"/>
      <c r="E25" s="152" t="str">
        <f t="shared" si="0"/>
        <v/>
      </c>
      <c r="F25" s="153"/>
      <c r="G25" s="152" t="str">
        <f t="shared" si="1"/>
        <v/>
      </c>
      <c r="H25" s="154"/>
      <c r="I25" s="154"/>
      <c r="J25" s="155"/>
      <c r="K25" s="162"/>
    </row>
    <row r="26" spans="2:11" s="148" customFormat="1" ht="15.75" x14ac:dyDescent="0.25">
      <c r="B26" s="149"/>
      <c r="C26" s="150"/>
      <c r="D26" s="153"/>
      <c r="E26" s="152" t="str">
        <f t="shared" si="0"/>
        <v/>
      </c>
      <c r="F26" s="153"/>
      <c r="G26" s="152" t="str">
        <f t="shared" si="1"/>
        <v/>
      </c>
      <c r="H26" s="154"/>
      <c r="I26" s="154"/>
      <c r="J26" s="155"/>
      <c r="K26" s="162"/>
    </row>
    <row r="27" spans="2:11" s="148" customFormat="1" ht="15.75" x14ac:dyDescent="0.25">
      <c r="B27" s="149"/>
      <c r="C27" s="150"/>
      <c r="D27" s="153"/>
      <c r="E27" s="152" t="str">
        <f t="shared" si="0"/>
        <v/>
      </c>
      <c r="F27" s="153"/>
      <c r="G27" s="152" t="str">
        <f t="shared" si="1"/>
        <v/>
      </c>
      <c r="H27" s="154"/>
      <c r="I27" s="154"/>
      <c r="J27" s="155"/>
      <c r="K27" s="162"/>
    </row>
    <row r="28" spans="2:11" s="148" customFormat="1" ht="15.75" x14ac:dyDescent="0.25">
      <c r="B28" s="149"/>
      <c r="C28" s="150"/>
      <c r="D28" s="153"/>
      <c r="E28" s="152" t="str">
        <f t="shared" si="0"/>
        <v/>
      </c>
      <c r="F28" s="153"/>
      <c r="G28" s="152" t="str">
        <f t="shared" si="1"/>
        <v/>
      </c>
      <c r="H28" s="154"/>
      <c r="I28" s="154"/>
      <c r="J28" s="155"/>
      <c r="K28" s="162"/>
    </row>
    <row r="29" spans="2:11" s="148" customFormat="1" ht="15.75" x14ac:dyDescent="0.25">
      <c r="B29" s="149"/>
      <c r="C29" s="150"/>
      <c r="D29" s="153"/>
      <c r="E29" s="152" t="str">
        <f t="shared" si="0"/>
        <v/>
      </c>
      <c r="F29" s="153"/>
      <c r="G29" s="152" t="str">
        <f t="shared" si="1"/>
        <v/>
      </c>
      <c r="H29" s="154"/>
      <c r="I29" s="154"/>
      <c r="J29" s="155"/>
      <c r="K29" s="162"/>
    </row>
    <row r="30" spans="2:11" s="148" customFormat="1" ht="15.75" x14ac:dyDescent="0.25">
      <c r="B30" s="149"/>
      <c r="C30" s="150"/>
      <c r="D30" s="153"/>
      <c r="E30" s="152" t="str">
        <f t="shared" si="0"/>
        <v/>
      </c>
      <c r="F30" s="153"/>
      <c r="G30" s="152" t="str">
        <f t="shared" si="1"/>
        <v/>
      </c>
      <c r="H30" s="154"/>
      <c r="I30" s="154"/>
      <c r="J30" s="155"/>
      <c r="K30" s="162"/>
    </row>
    <row r="31" spans="2:11" s="148" customFormat="1" ht="15.75" x14ac:dyDescent="0.25">
      <c r="B31" s="149"/>
      <c r="C31" s="150"/>
      <c r="D31" s="153"/>
      <c r="E31" s="152" t="str">
        <f t="shared" si="0"/>
        <v/>
      </c>
      <c r="F31" s="153"/>
      <c r="G31" s="152" t="str">
        <f t="shared" si="1"/>
        <v/>
      </c>
      <c r="H31" s="154"/>
      <c r="I31" s="154"/>
      <c r="J31" s="155"/>
      <c r="K31" s="162"/>
    </row>
    <row r="32" spans="2:11" s="148" customFormat="1" ht="15.75" x14ac:dyDescent="0.25">
      <c r="B32" s="149"/>
      <c r="C32" s="150"/>
      <c r="D32" s="153"/>
      <c r="E32" s="152" t="str">
        <f t="shared" si="0"/>
        <v/>
      </c>
      <c r="F32" s="153"/>
      <c r="G32" s="152" t="str">
        <f t="shared" si="1"/>
        <v/>
      </c>
      <c r="H32" s="154"/>
      <c r="I32" s="154"/>
      <c r="J32" s="155"/>
      <c r="K32" s="162"/>
    </row>
    <row r="33" spans="2:11" s="148" customFormat="1" ht="15.75" x14ac:dyDescent="0.25">
      <c r="B33" s="149"/>
      <c r="C33" s="150"/>
      <c r="D33" s="153"/>
      <c r="E33" s="152" t="str">
        <f t="shared" si="0"/>
        <v/>
      </c>
      <c r="F33" s="153"/>
      <c r="G33" s="152" t="str">
        <f t="shared" si="1"/>
        <v/>
      </c>
      <c r="H33" s="154"/>
      <c r="I33" s="154"/>
      <c r="J33" s="155"/>
      <c r="K33" s="162"/>
    </row>
    <row r="34" spans="2:11" ht="6.6" customHeight="1" x14ac:dyDescent="0.25">
      <c r="B34" s="45"/>
      <c r="C34" s="47"/>
      <c r="D34" s="47"/>
      <c r="E34" s="47"/>
      <c r="F34" s="48"/>
      <c r="G34" s="49"/>
      <c r="H34" s="50"/>
      <c r="I34" s="50"/>
      <c r="J34" s="69"/>
      <c r="K34" s="47"/>
    </row>
    <row r="35" spans="2:11" ht="15.75" x14ac:dyDescent="0.25">
      <c r="B35" s="4"/>
      <c r="C35" s="4"/>
      <c r="D35" s="4"/>
      <c r="E35" s="4"/>
      <c r="F35" s="4"/>
      <c r="G35" s="4"/>
      <c r="H35" s="11">
        <f>SUBTOTAL(9,H7:H34)</f>
        <v>25003.46</v>
      </c>
      <c r="I35" s="11">
        <f>SUBTOTAL(9,I7:I34)</f>
        <v>0</v>
      </c>
      <c r="J35" s="70"/>
      <c r="K35" s="4"/>
    </row>
    <row r="37" spans="2:11" x14ac:dyDescent="0.25">
      <c r="H37"/>
    </row>
    <row r="38" spans="2:11" x14ac:dyDescent="0.25">
      <c r="H38"/>
    </row>
    <row r="39" spans="2:11" x14ac:dyDescent="0.25">
      <c r="H39"/>
    </row>
    <row r="51" spans="9:9" x14ac:dyDescent="0.25">
      <c r="I51" s="10"/>
    </row>
  </sheetData>
  <autoFilter ref="B6:J33"/>
  <sortState ref="B7:J30">
    <sortCondition ref="B7:B30" customList="January,February,March,April,May,June,July,August,September,October,November,December"/>
    <sortCondition ref="F7:F30"/>
  </sortState>
  <mergeCells count="12">
    <mergeCell ref="K5:K6"/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2">
    <dataValidation type="list" allowBlank="1" showInputMessage="1" showErrorMessage="1" sqref="F34">
      <formula1>AcctNumber</formula1>
    </dataValidation>
    <dataValidation type="list" allowBlank="1" showInputMessage="1" showErrorMessage="1" sqref="B34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'Chart of Accounts'!$B$11:$B$20</xm:f>
          </x14:formula1>
          <xm:sqref>F7:F33</xm:sqref>
        </x14:dataValidation>
        <x14:dataValidation type="list" allowBlank="1" showInputMessage="1" showErrorMessage="1">
          <x14:formula1>
            <xm:f>'Chart of Accounts'!$G$11:$G$22</xm:f>
          </x14:formula1>
          <xm:sqref>B7:B33</xm:sqref>
        </x14:dataValidation>
        <x14:dataValidation type="list" allowBlank="1" showInputMessage="1" showErrorMessage="1">
          <x14:formula1>
            <xm:f>'Chart of Accounts'!$B$4:$B$7</xm:f>
          </x14:formula1>
          <xm:sqref>D7:D33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O159"/>
  <sheetViews>
    <sheetView showGridLines="0" workbookViewId="0">
      <selection activeCell="E17" sqref="E17"/>
    </sheetView>
  </sheetViews>
  <sheetFormatPr defaultColWidth="8.7109375" defaultRowHeight="15" x14ac:dyDescent="0.25"/>
  <cols>
    <col min="1" max="1" width="27.5703125" style="2" bestFit="1" customWidth="1"/>
    <col min="2" max="2" width="6.28515625" style="87" customWidth="1"/>
    <col min="3" max="3" width="17.140625" style="1" bestFit="1" customWidth="1"/>
    <col min="4" max="4" width="14.5703125" style="1" customWidth="1"/>
    <col min="5" max="5" width="18.42578125" style="1" customWidth="1"/>
    <col min="6" max="7" width="12.7109375" style="1" customWidth="1"/>
    <col min="8" max="8" width="16.5703125" style="1" customWidth="1"/>
    <col min="9" max="9" width="2.140625" style="1" customWidth="1"/>
    <col min="10" max="10" width="16.28515625" style="1" customWidth="1"/>
    <col min="11" max="11" width="13.85546875" style="1" customWidth="1"/>
    <col min="12" max="12" width="16.5703125" style="1" customWidth="1"/>
    <col min="13" max="13" width="13.28515625" style="1" bestFit="1" customWidth="1"/>
    <col min="14" max="14" width="14.42578125" style="1" bestFit="1" customWidth="1"/>
    <col min="15" max="15" width="10.140625" style="1" bestFit="1" customWidth="1"/>
    <col min="16" max="16384" width="8.7109375" style="1"/>
  </cols>
  <sheetData>
    <row r="1" spans="1:15" s="18" customFormat="1" ht="20.25" x14ac:dyDescent="0.25">
      <c r="A1" s="225" t="s">
        <v>70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5" s="18" customFormat="1" ht="20.25" x14ac:dyDescent="0.25">
      <c r="A2" s="225" t="s">
        <v>71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</row>
    <row r="3" spans="1:15" s="87" customFormat="1" ht="23.25" x14ac:dyDescent="0.25">
      <c r="A3" s="231" t="str">
        <f>+'Top Level'!B3&amp;" Bank Accounts and Reconciliation"</f>
        <v>2023 Bank Accounts and Reconciliation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</row>
    <row r="4" spans="1:15" ht="16.5" thickBot="1" x14ac:dyDescent="0.3">
      <c r="A4" s="206"/>
      <c r="B4" s="206"/>
      <c r="C4" s="206"/>
      <c r="D4" s="207"/>
      <c r="E4" s="209"/>
      <c r="G4" s="208"/>
      <c r="H4" s="209"/>
      <c r="I4" s="17"/>
      <c r="J4" s="23">
        <f>H8+E8</f>
        <v>193451.65</v>
      </c>
      <c r="K4" s="17"/>
    </row>
    <row r="5" spans="1:15" ht="16.5" thickBot="1" x14ac:dyDescent="0.3">
      <c r="A5" s="111" t="s">
        <v>11</v>
      </c>
      <c r="B5" s="112"/>
      <c r="C5" s="113">
        <v>1000</v>
      </c>
      <c r="D5" s="211" t="s">
        <v>247</v>
      </c>
      <c r="E5" s="210">
        <f ca="1">1-($E$8/$E$21)</f>
        <v>0.13193214750484628</v>
      </c>
      <c r="F5" s="113">
        <v>1020</v>
      </c>
      <c r="G5" s="211" t="s">
        <v>247</v>
      </c>
      <c r="H5" s="210">
        <f ca="1">1-($H$8/$H$21)</f>
        <v>0</v>
      </c>
      <c r="I5" s="17"/>
      <c r="J5" s="115">
        <v>4000</v>
      </c>
      <c r="K5" s="114">
        <v>5050</v>
      </c>
    </row>
    <row r="6" spans="1:15" ht="16.5" thickBot="1" x14ac:dyDescent="0.3">
      <c r="C6" s="243" t="str">
        <f>VLOOKUP(C$5,Chart,2)</f>
        <v>Fidelity Investments</v>
      </c>
      <c r="D6" s="244"/>
      <c r="E6" s="245"/>
      <c r="F6" s="243" t="str">
        <f>VLOOKUP(F$5,Chart,2)</f>
        <v>Racine Community Foundation</v>
      </c>
      <c r="G6" s="237"/>
      <c r="H6" s="238"/>
      <c r="I6" s="61"/>
      <c r="J6" s="236" t="s">
        <v>72</v>
      </c>
      <c r="K6" s="237"/>
      <c r="L6" s="238"/>
    </row>
    <row r="7" spans="1:15" ht="15.75" x14ac:dyDescent="0.25">
      <c r="A7" s="12" t="s">
        <v>1</v>
      </c>
      <c r="B7" s="102"/>
      <c r="C7" s="241" t="s">
        <v>8</v>
      </c>
      <c r="D7" s="239" t="s">
        <v>6</v>
      </c>
      <c r="E7" s="5" t="s">
        <v>3</v>
      </c>
      <c r="F7" s="241" t="s">
        <v>8</v>
      </c>
      <c r="G7" s="239" t="s">
        <v>6</v>
      </c>
      <c r="H7" s="5" t="s">
        <v>3</v>
      </c>
      <c r="I7" s="246"/>
      <c r="J7" s="250" t="str">
        <f>LEFT(VLOOKUP(J5,Accounts,2),13)</f>
        <v>Contributions</v>
      </c>
      <c r="K7" s="239" t="str">
        <f>LEFT(VLOOKUP(K5,Accounts,2),10)</f>
        <v>Reductions</v>
      </c>
      <c r="L7" s="5" t="s">
        <v>3</v>
      </c>
    </row>
    <row r="8" spans="1:15" ht="14.45" customHeight="1" x14ac:dyDescent="0.25">
      <c r="A8" s="100" t="s">
        <v>4</v>
      </c>
      <c r="B8" s="104">
        <v>0</v>
      </c>
      <c r="C8" s="242"/>
      <c r="D8" s="240"/>
      <c r="E8" s="6">
        <v>164514.10999999999</v>
      </c>
      <c r="F8" s="242"/>
      <c r="G8" s="240"/>
      <c r="H8" s="6">
        <v>28937.54</v>
      </c>
      <c r="I8" s="246"/>
      <c r="J8" s="251"/>
      <c r="K8" s="240"/>
      <c r="L8" s="6">
        <v>133118.65</v>
      </c>
      <c r="N8" s="16"/>
      <c r="O8" s="16"/>
    </row>
    <row r="9" spans="1:15" x14ac:dyDescent="0.25">
      <c r="A9" s="13" t="str">
        <f>VLOOKUP(1,LKQtr,2)</f>
        <v>January</v>
      </c>
      <c r="B9" s="103">
        <v>1</v>
      </c>
      <c r="C9" s="53">
        <f t="shared" ref="C9:C20" si="0">SUMIFS(SumRevenue,SumMonth,$A9,SumBank,C$5)</f>
        <v>10211.879999999999</v>
      </c>
      <c r="D9" s="141">
        <f t="shared" ref="D9" si="1">SUMIFS(SumExp,SumMonth,$A9,SumBank,C$5)</f>
        <v>0</v>
      </c>
      <c r="E9" s="143">
        <f t="shared" ref="E9:E19" si="2">IF(+E8+C9-D9=E8,0,+E8+C9-D9)</f>
        <v>174725.99</v>
      </c>
      <c r="F9" s="53">
        <f t="shared" ref="F9:F20" si="3">SUMIFS(SumRevenue,SumMonth,$A9,SumBank,F$5)</f>
        <v>0</v>
      </c>
      <c r="G9" s="141">
        <f t="shared" ref="G9:G20" si="4">SUMIFS(SumExp,SumMonth,$A9,SumBank,F$5)</f>
        <v>0</v>
      </c>
      <c r="H9" s="143">
        <f t="shared" ref="H9:H20" si="5">IF(C9&lt;&gt;0,(+H8+F9-G9),0)</f>
        <v>28937.54</v>
      </c>
      <c r="I9" s="94"/>
      <c r="J9" s="53">
        <f t="shared" ref="J9:J20" si="6">SUMIFS(SumRevenue,SumMonth,$A9,SumAccount,J$5)</f>
        <v>205</v>
      </c>
      <c r="K9" s="141">
        <f t="shared" ref="K9:K20" si="7">SUMIFS(SumExp,SumMonth,$A9,SumAccount,K$5)</f>
        <v>0</v>
      </c>
      <c r="L9" s="142">
        <f t="shared" ref="L9:L20" si="8">IF(E9&lt;&gt;0,+L8+J9-K9,0)</f>
        <v>133323.65</v>
      </c>
    </row>
    <row r="10" spans="1:15" x14ac:dyDescent="0.25">
      <c r="A10" s="13" t="str">
        <f>VLOOKUP(1,LKQtr,3)</f>
        <v>February</v>
      </c>
      <c r="B10" s="103">
        <v>2</v>
      </c>
      <c r="C10" s="53">
        <f t="shared" si="0"/>
        <v>-5188.0200000000004</v>
      </c>
      <c r="D10" s="141">
        <f t="shared" ref="D10:D20" si="9">SUMIFS(SumExp,SumMonth,$A10,SumBank,C$5)</f>
        <v>0</v>
      </c>
      <c r="E10" s="143">
        <f t="shared" si="2"/>
        <v>169537.97</v>
      </c>
      <c r="F10" s="53">
        <f t="shared" si="3"/>
        <v>0</v>
      </c>
      <c r="G10" s="141">
        <f t="shared" si="4"/>
        <v>0</v>
      </c>
      <c r="H10" s="143">
        <f t="shared" si="5"/>
        <v>28937.54</v>
      </c>
      <c r="I10" s="94"/>
      <c r="J10" s="53">
        <f t="shared" si="6"/>
        <v>0</v>
      </c>
      <c r="K10" s="141">
        <f t="shared" si="7"/>
        <v>0</v>
      </c>
      <c r="L10" s="142">
        <f t="shared" si="8"/>
        <v>133323.65</v>
      </c>
    </row>
    <row r="11" spans="1:15" x14ac:dyDescent="0.25">
      <c r="A11" s="13" t="str">
        <f>VLOOKUP(1,LKQtr,4)</f>
        <v>March</v>
      </c>
      <c r="B11" s="103">
        <v>3</v>
      </c>
      <c r="C11" s="53">
        <f t="shared" si="0"/>
        <v>4259.38</v>
      </c>
      <c r="D11" s="141">
        <f t="shared" si="9"/>
        <v>0</v>
      </c>
      <c r="E11" s="143">
        <f t="shared" si="2"/>
        <v>173797.35</v>
      </c>
      <c r="F11" s="53">
        <f t="shared" si="3"/>
        <v>0</v>
      </c>
      <c r="G11" s="141">
        <f t="shared" si="4"/>
        <v>0</v>
      </c>
      <c r="H11" s="143">
        <f t="shared" si="5"/>
        <v>28937.54</v>
      </c>
      <c r="I11" s="94"/>
      <c r="J11" s="53">
        <f t="shared" si="6"/>
        <v>0</v>
      </c>
      <c r="K11" s="141">
        <f t="shared" si="7"/>
        <v>0</v>
      </c>
      <c r="L11" s="142">
        <f t="shared" si="8"/>
        <v>133323.65</v>
      </c>
    </row>
    <row r="12" spans="1:15" x14ac:dyDescent="0.25">
      <c r="A12" s="13" t="str">
        <f>VLOOKUP(2,LKQtr,2)</f>
        <v>April</v>
      </c>
      <c r="B12" s="103">
        <v>4</v>
      </c>
      <c r="C12" s="53">
        <f t="shared" si="0"/>
        <v>1658.65</v>
      </c>
      <c r="D12" s="141">
        <f t="shared" si="9"/>
        <v>0</v>
      </c>
      <c r="E12" s="143">
        <f t="shared" si="2"/>
        <v>175456</v>
      </c>
      <c r="F12" s="53">
        <f t="shared" si="3"/>
        <v>0</v>
      </c>
      <c r="G12" s="141">
        <f t="shared" si="4"/>
        <v>0</v>
      </c>
      <c r="H12" s="143">
        <f t="shared" si="5"/>
        <v>28937.54</v>
      </c>
      <c r="I12" s="94"/>
      <c r="J12" s="53">
        <f t="shared" si="6"/>
        <v>0</v>
      </c>
      <c r="K12" s="141">
        <f t="shared" si="7"/>
        <v>0</v>
      </c>
      <c r="L12" s="142">
        <f t="shared" si="8"/>
        <v>133323.65</v>
      </c>
    </row>
    <row r="13" spans="1:15" x14ac:dyDescent="0.25">
      <c r="A13" s="13" t="str">
        <f>VLOOKUP(2,LKQtr,3)</f>
        <v>May</v>
      </c>
      <c r="B13" s="103">
        <v>5</v>
      </c>
      <c r="C13" s="53">
        <f t="shared" si="0"/>
        <v>-1913.38</v>
      </c>
      <c r="D13" s="141">
        <f t="shared" si="9"/>
        <v>0</v>
      </c>
      <c r="E13" s="143">
        <f t="shared" si="2"/>
        <v>173542.62</v>
      </c>
      <c r="F13" s="53">
        <f t="shared" si="3"/>
        <v>0</v>
      </c>
      <c r="G13" s="141">
        <f t="shared" si="4"/>
        <v>0</v>
      </c>
      <c r="H13" s="143">
        <f t="shared" si="5"/>
        <v>28937.54</v>
      </c>
      <c r="I13" s="94"/>
      <c r="J13" s="53">
        <f t="shared" si="6"/>
        <v>0</v>
      </c>
      <c r="K13" s="141">
        <f t="shared" si="7"/>
        <v>0</v>
      </c>
      <c r="L13" s="142">
        <f t="shared" si="8"/>
        <v>133323.65</v>
      </c>
    </row>
    <row r="14" spans="1:15" x14ac:dyDescent="0.25">
      <c r="A14" s="13" t="str">
        <f>VLOOKUP(2,LKQtr,4)</f>
        <v>June</v>
      </c>
      <c r="B14" s="103">
        <v>6</v>
      </c>
      <c r="C14" s="53">
        <f t="shared" si="0"/>
        <v>4811.6499999999996</v>
      </c>
      <c r="D14" s="141">
        <f t="shared" si="9"/>
        <v>0</v>
      </c>
      <c r="E14" s="143">
        <f t="shared" si="2"/>
        <v>178354.27</v>
      </c>
      <c r="F14" s="53">
        <f t="shared" si="3"/>
        <v>0</v>
      </c>
      <c r="G14" s="141">
        <f t="shared" si="4"/>
        <v>0</v>
      </c>
      <c r="H14" s="143">
        <f t="shared" si="5"/>
        <v>28937.54</v>
      </c>
      <c r="I14" s="94"/>
      <c r="J14" s="53">
        <f t="shared" si="6"/>
        <v>0</v>
      </c>
      <c r="K14" s="141">
        <f t="shared" si="7"/>
        <v>0</v>
      </c>
      <c r="L14" s="142">
        <f t="shared" si="8"/>
        <v>133323.65</v>
      </c>
    </row>
    <row r="15" spans="1:15" x14ac:dyDescent="0.25">
      <c r="A15" s="13" t="str">
        <f>VLOOKUP(3,LKQtr,2)</f>
        <v>July</v>
      </c>
      <c r="B15" s="103">
        <v>7</v>
      </c>
      <c r="C15" s="53">
        <f t="shared" si="0"/>
        <v>3442.53</v>
      </c>
      <c r="D15" s="141">
        <f t="shared" si="9"/>
        <v>0</v>
      </c>
      <c r="E15" s="143">
        <f t="shared" si="2"/>
        <v>181796.8</v>
      </c>
      <c r="F15" s="53">
        <f t="shared" si="3"/>
        <v>0</v>
      </c>
      <c r="G15" s="141">
        <f t="shared" si="4"/>
        <v>0</v>
      </c>
      <c r="H15" s="143">
        <f t="shared" si="5"/>
        <v>28937.54</v>
      </c>
      <c r="I15" s="94"/>
      <c r="J15" s="53">
        <f t="shared" si="6"/>
        <v>0</v>
      </c>
      <c r="K15" s="141">
        <f t="shared" si="7"/>
        <v>0</v>
      </c>
      <c r="L15" s="142">
        <f t="shared" si="8"/>
        <v>133323.65</v>
      </c>
      <c r="N15" s="119"/>
    </row>
    <row r="16" spans="1:15" x14ac:dyDescent="0.25">
      <c r="A16" s="13" t="str">
        <f>VLOOKUP(3,LKQtr,3)</f>
        <v>August</v>
      </c>
      <c r="B16" s="103">
        <v>8</v>
      </c>
      <c r="C16" s="53">
        <f t="shared" si="0"/>
        <v>-3817.17</v>
      </c>
      <c r="D16" s="141">
        <f t="shared" si="9"/>
        <v>0</v>
      </c>
      <c r="E16" s="143">
        <f t="shared" si="2"/>
        <v>177979.62999999998</v>
      </c>
      <c r="F16" s="53">
        <f t="shared" si="3"/>
        <v>0</v>
      </c>
      <c r="G16" s="141">
        <f t="shared" si="4"/>
        <v>0</v>
      </c>
      <c r="H16" s="143">
        <f t="shared" si="5"/>
        <v>28937.54</v>
      </c>
      <c r="I16" s="94"/>
      <c r="J16" s="53">
        <f t="shared" si="6"/>
        <v>0</v>
      </c>
      <c r="K16" s="141">
        <f t="shared" si="7"/>
        <v>0</v>
      </c>
      <c r="L16" s="142">
        <f t="shared" si="8"/>
        <v>133323.65</v>
      </c>
    </row>
    <row r="17" spans="1:13" x14ac:dyDescent="0.25">
      <c r="A17" s="13" t="str">
        <f>VLOOKUP(3,LKQtr,4)</f>
        <v>September</v>
      </c>
      <c r="B17" s="103">
        <v>9</v>
      </c>
      <c r="C17" s="53">
        <f t="shared" si="0"/>
        <v>-6146.49</v>
      </c>
      <c r="D17" s="141">
        <f t="shared" si="9"/>
        <v>0</v>
      </c>
      <c r="E17" s="143">
        <f t="shared" si="2"/>
        <v>171833.13999999998</v>
      </c>
      <c r="F17" s="53">
        <f t="shared" si="3"/>
        <v>0</v>
      </c>
      <c r="G17" s="141">
        <f t="shared" si="4"/>
        <v>0</v>
      </c>
      <c r="H17" s="143">
        <f t="shared" si="5"/>
        <v>28937.54</v>
      </c>
      <c r="I17" s="94"/>
      <c r="J17" s="53">
        <f t="shared" si="6"/>
        <v>0</v>
      </c>
      <c r="K17" s="141">
        <f t="shared" si="7"/>
        <v>0</v>
      </c>
      <c r="L17" s="142">
        <f t="shared" si="8"/>
        <v>133323.65</v>
      </c>
    </row>
    <row r="18" spans="1:13" x14ac:dyDescent="0.25">
      <c r="A18" s="13" t="str">
        <f>VLOOKUP(4,LKQtr,2)</f>
        <v>October</v>
      </c>
      <c r="B18" s="103">
        <v>10</v>
      </c>
      <c r="C18" s="53">
        <f t="shared" si="0"/>
        <v>-4202.93</v>
      </c>
      <c r="D18" s="141">
        <f t="shared" si="9"/>
        <v>0</v>
      </c>
      <c r="E18" s="143">
        <f t="shared" si="2"/>
        <v>167630.21</v>
      </c>
      <c r="F18" s="53">
        <f t="shared" si="3"/>
        <v>0</v>
      </c>
      <c r="G18" s="141">
        <f t="shared" si="4"/>
        <v>0</v>
      </c>
      <c r="H18" s="143">
        <f t="shared" si="5"/>
        <v>28937.54</v>
      </c>
      <c r="I18" s="94"/>
      <c r="J18" s="53">
        <f t="shared" si="6"/>
        <v>25</v>
      </c>
      <c r="K18" s="141">
        <f t="shared" si="7"/>
        <v>0</v>
      </c>
      <c r="L18" s="142">
        <f t="shared" si="8"/>
        <v>133348.65</v>
      </c>
    </row>
    <row r="19" spans="1:13" x14ac:dyDescent="0.25">
      <c r="A19" s="13" t="str">
        <f>VLOOKUP(4,LKQtr,3)</f>
        <v>November</v>
      </c>
      <c r="B19" s="103">
        <v>11</v>
      </c>
      <c r="C19" s="53">
        <f t="shared" si="0"/>
        <v>13320.17</v>
      </c>
      <c r="D19" s="141">
        <f t="shared" si="9"/>
        <v>0</v>
      </c>
      <c r="E19" s="143">
        <f t="shared" si="2"/>
        <v>180950.38</v>
      </c>
      <c r="F19" s="53">
        <f t="shared" si="3"/>
        <v>0</v>
      </c>
      <c r="G19" s="141">
        <f t="shared" si="4"/>
        <v>0</v>
      </c>
      <c r="H19" s="143">
        <f t="shared" si="5"/>
        <v>28937.54</v>
      </c>
      <c r="I19" s="94"/>
      <c r="J19" s="53">
        <f t="shared" si="6"/>
        <v>1929</v>
      </c>
      <c r="K19" s="141">
        <f t="shared" si="7"/>
        <v>0</v>
      </c>
      <c r="L19" s="142">
        <f t="shared" si="8"/>
        <v>135277.65</v>
      </c>
    </row>
    <row r="20" spans="1:13" x14ac:dyDescent="0.25">
      <c r="A20" s="13" t="str">
        <f>VLOOKUP(4,LKQtr,4)</f>
        <v>December</v>
      </c>
      <c r="B20" s="103">
        <v>12</v>
      </c>
      <c r="C20" s="53">
        <f t="shared" si="0"/>
        <v>8567.19</v>
      </c>
      <c r="D20" s="141">
        <f t="shared" si="9"/>
        <v>0</v>
      </c>
      <c r="E20" s="143">
        <f>IF(+E19+C20-D20=E19,0,+E19+C20-D20)</f>
        <v>189517.57</v>
      </c>
      <c r="F20" s="53">
        <f t="shared" si="3"/>
        <v>0</v>
      </c>
      <c r="G20" s="141">
        <f t="shared" si="4"/>
        <v>0</v>
      </c>
      <c r="H20" s="143">
        <f t="shared" si="5"/>
        <v>28937.54</v>
      </c>
      <c r="I20" s="94"/>
      <c r="J20" s="53">
        <f t="shared" si="6"/>
        <v>0</v>
      </c>
      <c r="K20" s="141">
        <f t="shared" si="7"/>
        <v>0</v>
      </c>
      <c r="L20" s="142">
        <f t="shared" si="8"/>
        <v>135277.65</v>
      </c>
    </row>
    <row r="21" spans="1:13" ht="16.5" thickBot="1" x14ac:dyDescent="0.3">
      <c r="A21" s="14" t="s">
        <v>9</v>
      </c>
      <c r="B21" s="14"/>
      <c r="C21" s="7">
        <f>SUM(C9:C20)</f>
        <v>25003.46</v>
      </c>
      <c r="D21" s="8">
        <f>SUM(D9:D20)</f>
        <v>0</v>
      </c>
      <c r="E21" s="9">
        <f ca="1">IF(ISNA(INDIRECT("E"&amp;(MATCH(0,E$9:E$20,0)+7))),E$20,INDIRECT("E"&amp;(MATCH(0,E$9:E$20,0)+7)))</f>
        <v>189517.57</v>
      </c>
      <c r="F21" s="7">
        <f>SUM(F9:F20)</f>
        <v>0</v>
      </c>
      <c r="G21" s="8">
        <f>SUM(G9:G20)</f>
        <v>0</v>
      </c>
      <c r="H21" s="9">
        <f ca="1">IF(ISNA(INDIRECT("H"&amp;(MATCH(0,H$9:H$20,0)+7))),H$20,INDIRECT("H"&amp;(MATCH(0,H$9:H$20,0)+7)))</f>
        <v>28937.54</v>
      </c>
      <c r="I21" s="95"/>
      <c r="J21" s="7">
        <f>SUM(J9:J20)</f>
        <v>2159</v>
      </c>
      <c r="K21" s="8">
        <f>SUM(K9:K20)</f>
        <v>0</v>
      </c>
      <c r="L21" s="9">
        <f>MAX(L8:L20)</f>
        <v>135277.65</v>
      </c>
    </row>
    <row r="22" spans="1:13" x14ac:dyDescent="0.25">
      <c r="E22" s="3"/>
      <c r="H22" s="3"/>
      <c r="I22" s="17"/>
      <c r="L22" s="3"/>
    </row>
    <row r="23" spans="1:13" ht="16.5" thickBot="1" x14ac:dyDescent="0.3">
      <c r="A23" s="247" t="s">
        <v>91</v>
      </c>
      <c r="C23" s="129"/>
      <c r="D23" s="130" t="s">
        <v>92</v>
      </c>
      <c r="E23" s="131">
        <v>189517.57</v>
      </c>
      <c r="F23" s="140"/>
      <c r="G23" s="130" t="s">
        <v>92</v>
      </c>
      <c r="H23" s="131">
        <v>28937.54</v>
      </c>
      <c r="I23" s="17"/>
      <c r="K23" s="18"/>
      <c r="L23" s="96"/>
      <c r="M23" s="16"/>
    </row>
    <row r="24" spans="1:13" x14ac:dyDescent="0.25">
      <c r="A24" s="248"/>
      <c r="C24" s="132"/>
      <c r="D24" s="147" t="s">
        <v>93</v>
      </c>
      <c r="E24" s="133">
        <f ca="1">ROUND(E23-E21,2)</f>
        <v>0</v>
      </c>
      <c r="F24" s="132"/>
      <c r="G24" s="147" t="s">
        <v>93</v>
      </c>
      <c r="H24" s="133">
        <f ca="1">ROUND(H23-H21,2)</f>
        <v>0</v>
      </c>
      <c r="I24" s="17"/>
      <c r="K24" s="18"/>
      <c r="L24" s="23"/>
    </row>
    <row r="25" spans="1:13" ht="15.75" x14ac:dyDescent="0.25">
      <c r="A25" s="248"/>
      <c r="C25" s="134" t="s">
        <v>81</v>
      </c>
      <c r="D25" s="18"/>
      <c r="E25" s="135"/>
      <c r="F25" s="132"/>
      <c r="G25" s="18"/>
      <c r="H25" s="135"/>
      <c r="I25" s="17"/>
      <c r="J25" s="205"/>
      <c r="K25" s="17"/>
      <c r="L25" s="18"/>
    </row>
    <row r="26" spans="1:13" x14ac:dyDescent="0.25">
      <c r="A26" s="248"/>
      <c r="C26" s="132" t="str">
        <f>+$D$23</f>
        <v xml:space="preserve">Curr Stmt.  </v>
      </c>
      <c r="D26" s="18"/>
      <c r="E26" s="133">
        <f>+E23</f>
        <v>189517.57</v>
      </c>
      <c r="F26" s="132" t="str">
        <f>+$D$23</f>
        <v xml:space="preserve">Curr Stmt.  </v>
      </c>
      <c r="G26" s="18"/>
      <c r="H26" s="133">
        <f>+H23</f>
        <v>28937.54</v>
      </c>
      <c r="K26" s="3"/>
    </row>
    <row r="27" spans="1:13" x14ac:dyDescent="0.25">
      <c r="A27" s="248"/>
      <c r="C27" s="234" t="s">
        <v>80</v>
      </c>
      <c r="D27" s="235"/>
      <c r="E27" s="135"/>
      <c r="F27" s="234" t="s">
        <v>80</v>
      </c>
      <c r="G27" s="235"/>
      <c r="H27" s="135"/>
      <c r="K27" s="3"/>
    </row>
    <row r="28" spans="1:13" ht="15.75" x14ac:dyDescent="0.25">
      <c r="A28" s="248"/>
      <c r="C28" s="132"/>
      <c r="D28" s="146"/>
      <c r="E28" s="137"/>
      <c r="F28" s="132"/>
      <c r="G28" s="136"/>
      <c r="H28" s="137"/>
      <c r="I28" s="42"/>
      <c r="J28" s="42"/>
      <c r="K28" s="3"/>
    </row>
    <row r="29" spans="1:13" x14ac:dyDescent="0.25">
      <c r="A29" s="248"/>
      <c r="C29" s="132"/>
      <c r="D29" s="136"/>
      <c r="E29" s="137"/>
      <c r="F29" s="132"/>
      <c r="G29" s="136"/>
      <c r="H29" s="137"/>
      <c r="K29" s="3"/>
    </row>
    <row r="30" spans="1:13" x14ac:dyDescent="0.25">
      <c r="A30" s="248"/>
      <c r="C30" s="132" t="s">
        <v>82</v>
      </c>
      <c r="D30" s="18"/>
      <c r="E30" s="138">
        <f>+E26-SUM(E28:E29)</f>
        <v>189517.57</v>
      </c>
      <c r="F30" s="132" t="s">
        <v>82</v>
      </c>
      <c r="G30" s="18"/>
      <c r="H30" s="138">
        <f>+H26-SUM(H28:H29)</f>
        <v>28937.54</v>
      </c>
      <c r="K30" s="3"/>
    </row>
    <row r="31" spans="1:13" x14ac:dyDescent="0.25">
      <c r="A31" s="249"/>
      <c r="C31" s="139" t="s">
        <v>38</v>
      </c>
      <c r="D31" s="108"/>
      <c r="E31" s="145" t="str">
        <f ca="1">IF(ROUND(E21-E30,2)=0,"OK","Check it")</f>
        <v>OK</v>
      </c>
      <c r="F31" s="139" t="s">
        <v>38</v>
      </c>
      <c r="G31" s="108"/>
      <c r="H31" s="145" t="str">
        <f ca="1">IF(ROUND(H21-H30,2)=0,"OK","Check it")</f>
        <v>OK</v>
      </c>
      <c r="K31" s="3"/>
    </row>
    <row r="32" spans="1:13" x14ac:dyDescent="0.25">
      <c r="E32" s="3"/>
      <c r="H32" s="3"/>
      <c r="K32" s="3"/>
    </row>
    <row r="33" spans="1:11" x14ac:dyDescent="0.25">
      <c r="E33" s="3"/>
      <c r="H33" s="3"/>
      <c r="K33" s="3"/>
    </row>
    <row r="34" spans="1:11" x14ac:dyDescent="0.25">
      <c r="E34" s="144"/>
      <c r="H34" s="3"/>
      <c r="K34" s="3"/>
    </row>
    <row r="35" spans="1:11" x14ac:dyDescent="0.25">
      <c r="A35" s="161" t="s">
        <v>135</v>
      </c>
      <c r="E35" s="3"/>
      <c r="H35" s="3"/>
      <c r="K35" s="3"/>
    </row>
    <row r="40" spans="1:11" x14ac:dyDescent="0.25">
      <c r="E40" s="3"/>
      <c r="H40" s="3"/>
      <c r="K40" s="3"/>
    </row>
    <row r="41" spans="1:11" x14ac:dyDescent="0.25">
      <c r="E41" s="3"/>
      <c r="H41" s="3"/>
      <c r="K41" s="3"/>
    </row>
    <row r="43" spans="1:11" x14ac:dyDescent="0.25">
      <c r="E43" s="3"/>
      <c r="H43" s="3"/>
      <c r="K43" s="3"/>
    </row>
    <row r="48" spans="1:11" x14ac:dyDescent="0.25">
      <c r="E48" s="3"/>
      <c r="H48" s="3"/>
      <c r="K48" s="3"/>
    </row>
    <row r="55" spans="5:11" x14ac:dyDescent="0.25">
      <c r="E55"/>
    </row>
    <row r="56" spans="5:11" x14ac:dyDescent="0.25">
      <c r="E56"/>
      <c r="H56" s="3"/>
      <c r="K56" s="3"/>
    </row>
    <row r="57" spans="5:11" x14ac:dyDescent="0.25">
      <c r="E57"/>
    </row>
    <row r="58" spans="5:11" x14ac:dyDescent="0.25">
      <c r="E58"/>
      <c r="H58" s="3"/>
      <c r="K58" s="3"/>
    </row>
    <row r="59" spans="5:11" x14ac:dyDescent="0.25">
      <c r="E59"/>
      <c r="H59" s="3"/>
      <c r="K59" s="3"/>
    </row>
    <row r="60" spans="5:11" x14ac:dyDescent="0.25">
      <c r="E60"/>
      <c r="H60" s="3"/>
      <c r="K60" s="3"/>
    </row>
    <row r="61" spans="5:11" x14ac:dyDescent="0.25">
      <c r="E61"/>
      <c r="H61" s="3"/>
      <c r="K61" s="3"/>
    </row>
    <row r="62" spans="5:11" x14ac:dyDescent="0.25">
      <c r="E62" s="3"/>
      <c r="H62" s="3"/>
      <c r="K62" s="3"/>
    </row>
    <row r="63" spans="5:11" x14ac:dyDescent="0.25">
      <c r="E63" s="3"/>
      <c r="H63" s="3"/>
      <c r="K63" s="3"/>
    </row>
    <row r="64" spans="5:11" x14ac:dyDescent="0.25">
      <c r="E64" s="3"/>
      <c r="H64" s="3"/>
      <c r="K64" s="3"/>
    </row>
    <row r="65" spans="5:11" x14ac:dyDescent="0.25">
      <c r="E65" s="3"/>
      <c r="H65" s="3"/>
      <c r="K65" s="3"/>
    </row>
    <row r="66" spans="5:11" x14ac:dyDescent="0.25">
      <c r="E66" s="3"/>
      <c r="H66" s="3"/>
      <c r="K66" s="3"/>
    </row>
    <row r="67" spans="5:11" x14ac:dyDescent="0.25">
      <c r="E67" s="3"/>
      <c r="H67" s="3"/>
      <c r="K67" s="3"/>
    </row>
    <row r="68" spans="5:11" x14ac:dyDescent="0.25">
      <c r="E68" s="3"/>
      <c r="H68" s="3"/>
      <c r="K68" s="3"/>
    </row>
    <row r="69" spans="5:11" x14ac:dyDescent="0.25">
      <c r="E69" s="3"/>
      <c r="H69" s="3"/>
      <c r="K69" s="3"/>
    </row>
    <row r="70" spans="5:11" x14ac:dyDescent="0.25">
      <c r="E70" s="3"/>
      <c r="H70" s="3"/>
      <c r="K70" s="3"/>
    </row>
    <row r="71" spans="5:11" x14ac:dyDescent="0.25">
      <c r="E71" s="3"/>
      <c r="H71" s="3"/>
      <c r="K71" s="3"/>
    </row>
    <row r="72" spans="5:11" x14ac:dyDescent="0.25">
      <c r="E72" s="3"/>
      <c r="H72" s="3"/>
      <c r="K72" s="3"/>
    </row>
    <row r="73" spans="5:11" x14ac:dyDescent="0.25">
      <c r="E73" s="3"/>
      <c r="H73" s="3"/>
      <c r="K73" s="3"/>
    </row>
    <row r="74" spans="5:11" x14ac:dyDescent="0.25">
      <c r="E74" s="3"/>
      <c r="H74" s="3"/>
      <c r="K74" s="3"/>
    </row>
    <row r="78" spans="5:11" x14ac:dyDescent="0.25">
      <c r="E78" s="3"/>
      <c r="H78" s="3"/>
      <c r="K78" s="3"/>
    </row>
    <row r="80" spans="5:11" x14ac:dyDescent="0.25">
      <c r="E80" s="3"/>
      <c r="H80" s="3"/>
      <c r="K80" s="3"/>
    </row>
    <row r="84" spans="5:11" x14ac:dyDescent="0.25">
      <c r="E84" s="3"/>
      <c r="H84" s="3"/>
      <c r="K84" s="3"/>
    </row>
    <row r="92" spans="5:11" x14ac:dyDescent="0.25">
      <c r="E92" s="3"/>
      <c r="H92" s="3"/>
      <c r="K92" s="3"/>
    </row>
    <row r="93" spans="5:11" x14ac:dyDescent="0.25">
      <c r="E93" s="3"/>
      <c r="H93" s="3"/>
      <c r="K93" s="3"/>
    </row>
    <row r="96" spans="5:11" x14ac:dyDescent="0.25">
      <c r="E96" s="3"/>
      <c r="H96" s="3"/>
      <c r="K96" s="3"/>
    </row>
    <row r="102" spans="5:11" x14ac:dyDescent="0.25">
      <c r="E102" s="3"/>
      <c r="H102" s="3"/>
      <c r="K102" s="3"/>
    </row>
    <row r="103" spans="5:11" x14ac:dyDescent="0.25">
      <c r="E103" s="3"/>
      <c r="H103" s="3"/>
      <c r="K103" s="3"/>
    </row>
    <row r="104" spans="5:11" x14ac:dyDescent="0.25">
      <c r="E104" s="3"/>
      <c r="H104" s="3"/>
      <c r="K104" s="3"/>
    </row>
    <row r="118" spans="5:11" x14ac:dyDescent="0.25">
      <c r="E118" s="3"/>
      <c r="H118" s="3"/>
      <c r="K118" s="3"/>
    </row>
    <row r="133" spans="5:11" x14ac:dyDescent="0.25">
      <c r="E133" s="3"/>
      <c r="H133" s="3"/>
      <c r="K133" s="3"/>
    </row>
    <row r="159" spans="5:11" x14ac:dyDescent="0.25">
      <c r="E159" s="3"/>
      <c r="H159" s="3"/>
      <c r="K159" s="3"/>
    </row>
  </sheetData>
  <mergeCells count="16">
    <mergeCell ref="A2:L2"/>
    <mergeCell ref="A1:L1"/>
    <mergeCell ref="A3:L3"/>
    <mergeCell ref="F27:G27"/>
    <mergeCell ref="C27:D27"/>
    <mergeCell ref="J6:L6"/>
    <mergeCell ref="K7:K8"/>
    <mergeCell ref="F7:F8"/>
    <mergeCell ref="G7:G8"/>
    <mergeCell ref="C7:C8"/>
    <mergeCell ref="D7:D8"/>
    <mergeCell ref="C6:E6"/>
    <mergeCell ref="I7:I8"/>
    <mergeCell ref="A23:A31"/>
    <mergeCell ref="J7:J8"/>
    <mergeCell ref="F6:H6"/>
  </mergeCells>
  <conditionalFormatting sqref="E31">
    <cfRule type="expression" dxfId="7" priority="9">
      <formula>E31&lt;&gt;"OK"</formula>
    </cfRule>
    <cfRule type="expression" dxfId="6" priority="10">
      <formula>E31="OK"</formula>
    </cfRule>
  </conditionalFormatting>
  <conditionalFormatting sqref="H31">
    <cfRule type="expression" dxfId="5" priority="1">
      <formula>H31&lt;&gt;"OK"</formula>
    </cfRule>
    <cfRule type="expression" dxfId="4" priority="2">
      <formula>H31="OK"</formula>
    </cfRule>
  </conditionalFormatting>
  <pageMargins left="0.7" right="0.7" top="0.75" bottom="0.75" header="0.3" footer="0.3"/>
  <pageSetup scale="5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/>
  </sheetViews>
  <sheetFormatPr defaultRowHeight="15" x14ac:dyDescent="0.25"/>
  <cols>
    <col min="1" max="1" width="41" bestFit="1" customWidth="1"/>
    <col min="2" max="2" width="52.85546875" bestFit="1" customWidth="1"/>
    <col min="3" max="3" width="11" customWidth="1"/>
  </cols>
  <sheetData>
    <row r="1" spans="1:3" x14ac:dyDescent="0.25">
      <c r="A1" s="203" t="s">
        <v>173</v>
      </c>
      <c r="B1" s="203" t="s">
        <v>174</v>
      </c>
      <c r="C1" s="204" t="s">
        <v>175</v>
      </c>
    </row>
    <row r="2" spans="1:3" x14ac:dyDescent="0.25">
      <c r="A2" t="s">
        <v>176</v>
      </c>
      <c r="B2" t="s">
        <v>177</v>
      </c>
      <c r="C2" s="123">
        <v>50</v>
      </c>
    </row>
    <row r="3" spans="1:3" x14ac:dyDescent="0.25">
      <c r="A3" t="s">
        <v>178</v>
      </c>
      <c r="B3" t="s">
        <v>179</v>
      </c>
      <c r="C3" s="123">
        <v>100</v>
      </c>
    </row>
    <row r="4" spans="1:3" x14ac:dyDescent="0.25">
      <c r="A4" t="s">
        <v>180</v>
      </c>
      <c r="B4" t="s">
        <v>181</v>
      </c>
      <c r="C4" s="123">
        <v>100</v>
      </c>
    </row>
    <row r="5" spans="1:3" x14ac:dyDescent="0.25">
      <c r="A5" t="s">
        <v>182</v>
      </c>
      <c r="B5" t="s">
        <v>183</v>
      </c>
      <c r="C5" s="123">
        <v>50</v>
      </c>
    </row>
    <row r="6" spans="1:3" x14ac:dyDescent="0.25">
      <c r="A6" t="s">
        <v>184</v>
      </c>
      <c r="B6" t="s">
        <v>185</v>
      </c>
      <c r="C6" s="123">
        <v>25</v>
      </c>
    </row>
    <row r="7" spans="1:3" x14ac:dyDescent="0.25">
      <c r="A7" t="s">
        <v>186</v>
      </c>
      <c r="B7" t="s">
        <v>187</v>
      </c>
      <c r="C7" s="123">
        <v>25</v>
      </c>
    </row>
    <row r="8" spans="1:3" x14ac:dyDescent="0.25">
      <c r="A8" t="s">
        <v>188</v>
      </c>
      <c r="B8" t="s">
        <v>189</v>
      </c>
      <c r="C8" s="123">
        <v>25</v>
      </c>
    </row>
    <row r="9" spans="1:3" x14ac:dyDescent="0.25">
      <c r="A9" t="s">
        <v>190</v>
      </c>
      <c r="B9" t="s">
        <v>191</v>
      </c>
      <c r="C9" s="123">
        <v>20</v>
      </c>
    </row>
    <row r="10" spans="1:3" x14ac:dyDescent="0.25">
      <c r="A10" t="s">
        <v>192</v>
      </c>
      <c r="B10" t="s">
        <v>193</v>
      </c>
      <c r="C10" s="123">
        <v>20</v>
      </c>
    </row>
    <row r="11" spans="1:3" x14ac:dyDescent="0.25">
      <c r="A11" t="s">
        <v>194</v>
      </c>
      <c r="B11" t="s">
        <v>195</v>
      </c>
      <c r="C11" s="123">
        <v>50</v>
      </c>
    </row>
    <row r="12" spans="1:3" x14ac:dyDescent="0.25">
      <c r="A12" t="s">
        <v>196</v>
      </c>
      <c r="B12" t="s">
        <v>197</v>
      </c>
      <c r="C12" s="123">
        <v>35</v>
      </c>
    </row>
    <row r="13" spans="1:3" x14ac:dyDescent="0.25">
      <c r="A13" t="s">
        <v>198</v>
      </c>
      <c r="B13" t="s">
        <v>199</v>
      </c>
      <c r="C13" s="123">
        <v>30</v>
      </c>
    </row>
    <row r="14" spans="1:3" x14ac:dyDescent="0.25">
      <c r="A14" t="s">
        <v>200</v>
      </c>
      <c r="B14" t="s">
        <v>201</v>
      </c>
      <c r="C14" s="123">
        <v>50</v>
      </c>
    </row>
    <row r="15" spans="1:3" x14ac:dyDescent="0.25">
      <c r="A15" t="s">
        <v>202</v>
      </c>
      <c r="B15" t="s">
        <v>203</v>
      </c>
      <c r="C15" s="123">
        <v>10</v>
      </c>
    </row>
    <row r="16" spans="1:3" x14ac:dyDescent="0.25">
      <c r="A16" t="s">
        <v>204</v>
      </c>
      <c r="B16" t="s">
        <v>205</v>
      </c>
      <c r="C16" s="123">
        <v>25</v>
      </c>
    </row>
    <row r="17" spans="1:3" x14ac:dyDescent="0.25">
      <c r="A17" t="s">
        <v>206</v>
      </c>
      <c r="B17" t="s">
        <v>207</v>
      </c>
      <c r="C17" s="123">
        <v>100</v>
      </c>
    </row>
    <row r="18" spans="1:3" x14ac:dyDescent="0.25">
      <c r="A18" t="s">
        <v>208</v>
      </c>
      <c r="B18" t="s">
        <v>209</v>
      </c>
      <c r="C18" s="123">
        <v>25</v>
      </c>
    </row>
    <row r="19" spans="1:3" x14ac:dyDescent="0.25">
      <c r="A19" t="s">
        <v>210</v>
      </c>
      <c r="B19" t="s">
        <v>211</v>
      </c>
      <c r="C19" s="123">
        <v>50</v>
      </c>
    </row>
    <row r="20" spans="1:3" x14ac:dyDescent="0.25">
      <c r="A20" t="s">
        <v>212</v>
      </c>
      <c r="B20" t="s">
        <v>213</v>
      </c>
      <c r="C20" s="123">
        <v>50</v>
      </c>
    </row>
    <row r="21" spans="1:3" x14ac:dyDescent="0.25">
      <c r="A21" t="s">
        <v>214</v>
      </c>
      <c r="B21" t="s">
        <v>215</v>
      </c>
      <c r="C21" s="123">
        <v>50</v>
      </c>
    </row>
    <row r="22" spans="1:3" x14ac:dyDescent="0.25">
      <c r="A22" t="s">
        <v>216</v>
      </c>
      <c r="B22" t="s">
        <v>217</v>
      </c>
      <c r="C22" s="123">
        <v>25</v>
      </c>
    </row>
    <row r="23" spans="1:3" x14ac:dyDescent="0.25">
      <c r="A23" t="s">
        <v>218</v>
      </c>
      <c r="B23" t="s">
        <v>219</v>
      </c>
      <c r="C23" s="123">
        <v>25</v>
      </c>
    </row>
    <row r="24" spans="1:3" x14ac:dyDescent="0.25">
      <c r="A24" t="s">
        <v>220</v>
      </c>
      <c r="B24" t="s">
        <v>221</v>
      </c>
      <c r="C24" s="123">
        <v>50</v>
      </c>
    </row>
    <row r="25" spans="1:3" x14ac:dyDescent="0.25">
      <c r="A25" t="s">
        <v>222</v>
      </c>
      <c r="B25" t="s">
        <v>223</v>
      </c>
      <c r="C25" s="123">
        <v>50</v>
      </c>
    </row>
    <row r="26" spans="1:3" x14ac:dyDescent="0.25">
      <c r="A26" t="s">
        <v>224</v>
      </c>
      <c r="B26" t="s">
        <v>225</v>
      </c>
      <c r="C26" s="123">
        <v>100</v>
      </c>
    </row>
    <row r="27" spans="1:3" x14ac:dyDescent="0.25">
      <c r="A27" t="s">
        <v>226</v>
      </c>
      <c r="B27" t="s">
        <v>227</v>
      </c>
      <c r="C27" s="123">
        <v>20</v>
      </c>
    </row>
    <row r="28" spans="1:3" x14ac:dyDescent="0.25">
      <c r="A28" t="s">
        <v>228</v>
      </c>
      <c r="B28" t="s">
        <v>229</v>
      </c>
      <c r="C28" s="123">
        <v>25</v>
      </c>
    </row>
    <row r="29" spans="1:3" x14ac:dyDescent="0.25">
      <c r="A29" t="s">
        <v>230</v>
      </c>
      <c r="B29" t="s">
        <v>231</v>
      </c>
      <c r="C29" s="123">
        <v>20</v>
      </c>
    </row>
    <row r="30" spans="1:3" x14ac:dyDescent="0.25">
      <c r="A30" t="s">
        <v>232</v>
      </c>
      <c r="B30" t="s">
        <v>233</v>
      </c>
      <c r="C30" s="123">
        <v>25</v>
      </c>
    </row>
    <row r="31" spans="1:3" x14ac:dyDescent="0.25">
      <c r="A31" t="s">
        <v>234</v>
      </c>
      <c r="B31" t="s">
        <v>235</v>
      </c>
      <c r="C31" s="123">
        <v>220</v>
      </c>
    </row>
    <row r="32" spans="1:3" x14ac:dyDescent="0.25">
      <c r="A32" t="s">
        <v>236</v>
      </c>
      <c r="B32" t="s">
        <v>237</v>
      </c>
      <c r="C32" s="123">
        <v>50</v>
      </c>
    </row>
    <row r="33" spans="1:3" x14ac:dyDescent="0.25">
      <c r="A33" t="s">
        <v>238</v>
      </c>
      <c r="B33" t="s">
        <v>239</v>
      </c>
      <c r="C33" s="123">
        <v>100</v>
      </c>
    </row>
    <row r="34" spans="1:3" x14ac:dyDescent="0.25">
      <c r="A34" t="s">
        <v>240</v>
      </c>
      <c r="B34" t="s">
        <v>241</v>
      </c>
      <c r="C34" s="123">
        <v>50</v>
      </c>
    </row>
    <row r="35" spans="1:3" x14ac:dyDescent="0.25">
      <c r="A35" s="200" t="s">
        <v>243</v>
      </c>
      <c r="B35" s="200"/>
      <c r="C35" s="201">
        <f>SUM(C2:C34)</f>
        <v>1650</v>
      </c>
    </row>
    <row r="36" spans="1:3" ht="15.75" thickBot="1" x14ac:dyDescent="0.3">
      <c r="A36" t="s">
        <v>242</v>
      </c>
      <c r="C36" s="202">
        <v>279</v>
      </c>
    </row>
    <row r="37" spans="1:3" ht="15.75" thickTop="1" x14ac:dyDescent="0.25">
      <c r="C37" s="199">
        <f>SUM(C35:C36)</f>
        <v>1929</v>
      </c>
    </row>
    <row r="38" spans="1:3" x14ac:dyDescent="0.25">
      <c r="C38" s="123"/>
    </row>
    <row r="39" spans="1:3" x14ac:dyDescent="0.25">
      <c r="C39" s="123"/>
    </row>
    <row r="40" spans="1:3" x14ac:dyDescent="0.25">
      <c r="C40" s="123"/>
    </row>
  </sheetData>
  <pageMargins left="0.7" right="0.7" top="0.75" bottom="0.75" header="0.3" footer="0.3"/>
  <pageSetup scale="93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O178"/>
  <sheetViews>
    <sheetView showGridLines="0" zoomScaleNormal="100" workbookViewId="0">
      <selection activeCell="B24" sqref="B24"/>
    </sheetView>
  </sheetViews>
  <sheetFormatPr defaultColWidth="8.7109375" defaultRowHeight="15" x14ac:dyDescent="0.2"/>
  <cols>
    <col min="1" max="1" width="12.140625" style="36" customWidth="1"/>
    <col min="2" max="2" width="13" style="36" customWidth="1"/>
    <col min="3" max="3" width="31.28515625" style="36" customWidth="1"/>
    <col min="4" max="4" width="8.7109375" style="36"/>
    <col min="5" max="5" width="13.5703125" style="36" customWidth="1"/>
    <col min="6" max="6" width="14.28515625" style="36" bestFit="1" customWidth="1"/>
    <col min="7" max="7" width="16.28515625" style="36" customWidth="1"/>
    <col min="8" max="8" width="19" style="36" customWidth="1"/>
    <col min="9" max="9" width="13.28515625" style="36" customWidth="1"/>
    <col min="10" max="10" width="17.5703125" style="36" bestFit="1" customWidth="1"/>
    <col min="11" max="11" width="3.42578125" style="36" bestFit="1" customWidth="1"/>
    <col min="12" max="12" width="47.140625" style="36" customWidth="1"/>
    <col min="13" max="14" width="14.28515625" style="36" bestFit="1" customWidth="1"/>
    <col min="15" max="15" width="12.85546875" style="36" bestFit="1" customWidth="1"/>
    <col min="16" max="16384" width="8.7109375" style="36"/>
  </cols>
  <sheetData>
    <row r="1" spans="1:15" ht="23.25" x14ac:dyDescent="0.35">
      <c r="B1" s="252" t="s">
        <v>10</v>
      </c>
      <c r="C1" s="252"/>
      <c r="D1" s="252"/>
      <c r="E1" s="252"/>
    </row>
    <row r="2" spans="1:15" ht="15.6" customHeight="1" x14ac:dyDescent="0.35">
      <c r="A2" s="38"/>
      <c r="B2" s="39"/>
    </row>
    <row r="3" spans="1:15" ht="15.6" customHeight="1" x14ac:dyDescent="0.3">
      <c r="A3" s="37"/>
      <c r="B3" s="37"/>
      <c r="C3" s="41" t="s">
        <v>26</v>
      </c>
      <c r="F3" s="253" t="s">
        <v>67</v>
      </c>
      <c r="G3" s="253"/>
      <c r="H3" s="37"/>
      <c r="I3" s="37"/>
      <c r="J3" s="37"/>
      <c r="K3" s="37"/>
    </row>
    <row r="4" spans="1:15" ht="15.6" customHeight="1" x14ac:dyDescent="0.25">
      <c r="A4" s="37"/>
      <c r="B4" s="36" t="s">
        <v>146</v>
      </c>
      <c r="C4" s="46" t="s">
        <v>57</v>
      </c>
      <c r="F4" s="99">
        <v>1</v>
      </c>
      <c r="G4" s="36" t="str">
        <f>VLOOKUP(1,LKMonth,2)</f>
        <v>January</v>
      </c>
      <c r="H4" s="36" t="str">
        <f>VLOOKUP(2,LKMonth,2)</f>
        <v>February</v>
      </c>
      <c r="I4" s="36" t="str">
        <f>VLOOKUP(3,LKMonth,2)</f>
        <v>March</v>
      </c>
      <c r="J4" s="36" t="s">
        <v>63</v>
      </c>
      <c r="L4" s="170" t="str">
        <f>TEXT(PrudentPct,"0.0%")&amp;" of Rolling "&amp;QtrsAvg&amp;" qtrs Avg Total Assets"</f>
        <v>4.0% of Rolling 20 qtrs Avg Total Assets</v>
      </c>
      <c r="M4" s="37" t="s">
        <v>137</v>
      </c>
    </row>
    <row r="5" spans="1:15" ht="15.6" customHeight="1" x14ac:dyDescent="0.25">
      <c r="A5" s="37"/>
      <c r="B5" s="36">
        <v>1000</v>
      </c>
      <c r="C5" s="46" t="s">
        <v>52</v>
      </c>
      <c r="F5" s="99">
        <v>2</v>
      </c>
      <c r="G5" s="36" t="str">
        <f>VLOOKUP(4,LKMonth,2)</f>
        <v>April</v>
      </c>
      <c r="H5" s="36" t="str">
        <f>VLOOKUP(5,LKMonth,2)</f>
        <v>May</v>
      </c>
      <c r="I5" s="36" t="str">
        <f>VLOOKUP(6,LKMonth,2)</f>
        <v>June</v>
      </c>
      <c r="J5" s="36" t="s">
        <v>64</v>
      </c>
      <c r="L5" s="167" t="str">
        <f>("J"&amp;MATCH(0,QtrTop:$J$50,0)-1+ROW(QtrTop)-QtrsAvg&amp;":J"&amp;MATCH(0,QtrTop:$J$50,0)-2+ROW(QtrTop))</f>
        <v>J19:J38</v>
      </c>
      <c r="M5" s="37" t="s">
        <v>138</v>
      </c>
    </row>
    <row r="6" spans="1:15" ht="15.6" customHeight="1" x14ac:dyDescent="0.25">
      <c r="A6" s="37"/>
      <c r="B6" s="36">
        <v>1010</v>
      </c>
      <c r="C6" s="46" t="s">
        <v>0</v>
      </c>
      <c r="F6" s="99">
        <v>3</v>
      </c>
      <c r="G6" s="36" t="str">
        <f>VLOOKUP(7,LKMonth,2)</f>
        <v>July</v>
      </c>
      <c r="H6" s="36" t="str">
        <f>VLOOKUP(8,LKMonth,2)</f>
        <v>August</v>
      </c>
      <c r="I6" s="36" t="str">
        <f>VLOOKUP(9,LKMonth,2)</f>
        <v>September</v>
      </c>
      <c r="J6" s="36" t="s">
        <v>65</v>
      </c>
      <c r="L6" s="159">
        <f ca="1">AVERAGE(INDIRECT(QtrAvgRange))</f>
        <v>187669.25099999999</v>
      </c>
      <c r="M6" s="37" t="s">
        <v>140</v>
      </c>
    </row>
    <row r="7" spans="1:15" ht="15.6" customHeight="1" x14ac:dyDescent="0.25">
      <c r="A7" s="37"/>
      <c r="B7" s="36">
        <v>1020</v>
      </c>
      <c r="C7" s="46" t="s">
        <v>53</v>
      </c>
      <c r="F7" s="99">
        <v>4</v>
      </c>
      <c r="G7" s="36" t="str">
        <f>VLOOKUP(10,LKMonth,2)</f>
        <v>October</v>
      </c>
      <c r="H7" s="36" t="str">
        <f>VLOOKUP(11,LKMonth,2)</f>
        <v>November</v>
      </c>
      <c r="I7" s="36" t="str">
        <f>VLOOKUP(12,LKMonth,2)</f>
        <v>December</v>
      </c>
      <c r="J7" s="36" t="s">
        <v>66</v>
      </c>
      <c r="L7" s="168">
        <f ca="1">QtrSumAvg*PrudentPct</f>
        <v>7506.7700399999994</v>
      </c>
      <c r="M7" s="169" t="s">
        <v>139</v>
      </c>
    </row>
    <row r="8" spans="1:15" ht="15.6" customHeight="1" x14ac:dyDescent="0.25">
      <c r="A8" s="37"/>
      <c r="C8" s="46"/>
    </row>
    <row r="9" spans="1:15" ht="21" customHeight="1" x14ac:dyDescent="0.3">
      <c r="A9" s="37"/>
      <c r="B9" s="37"/>
      <c r="C9" s="41"/>
      <c r="I9" s="41" t="s">
        <v>125</v>
      </c>
      <c r="J9" s="41"/>
    </row>
    <row r="10" spans="1:15" ht="15.6" customHeight="1" x14ac:dyDescent="0.3">
      <c r="A10" s="37"/>
      <c r="B10" s="37"/>
      <c r="C10" s="41" t="s">
        <v>27</v>
      </c>
      <c r="F10" s="253" t="s">
        <v>68</v>
      </c>
      <c r="G10" s="253"/>
      <c r="I10" s="37" t="s">
        <v>78</v>
      </c>
      <c r="J10" s="158" t="s">
        <v>3</v>
      </c>
    </row>
    <row r="11" spans="1:15" ht="15.6" customHeight="1" x14ac:dyDescent="0.25">
      <c r="A11" s="37"/>
      <c r="B11" s="37" t="s">
        <v>148</v>
      </c>
      <c r="C11" s="90" t="s">
        <v>54</v>
      </c>
      <c r="F11" s="99">
        <v>1</v>
      </c>
      <c r="G11" s="101" t="s">
        <v>15</v>
      </c>
      <c r="H11" s="99">
        <v>1</v>
      </c>
      <c r="I11" s="36" t="s">
        <v>94</v>
      </c>
      <c r="J11" s="157">
        <v>145887.67999999999</v>
      </c>
      <c r="L11" s="159"/>
    </row>
    <row r="12" spans="1:15" ht="15.6" customHeight="1" x14ac:dyDescent="0.25">
      <c r="A12" s="37"/>
      <c r="B12" s="36">
        <v>4000</v>
      </c>
      <c r="C12" s="34" t="s">
        <v>73</v>
      </c>
      <c r="F12" s="99">
        <v>2</v>
      </c>
      <c r="G12" s="101" t="s">
        <v>16</v>
      </c>
      <c r="H12" s="99">
        <v>2</v>
      </c>
      <c r="I12" s="36" t="s">
        <v>95</v>
      </c>
      <c r="J12" s="157">
        <v>148332.07</v>
      </c>
      <c r="L12" s="159"/>
    </row>
    <row r="13" spans="1:15" ht="15.6" customHeight="1" x14ac:dyDescent="0.25">
      <c r="A13" s="37"/>
      <c r="B13" s="36">
        <v>4010</v>
      </c>
      <c r="C13" s="34" t="s">
        <v>55</v>
      </c>
      <c r="F13" s="99">
        <v>3</v>
      </c>
      <c r="G13" s="101" t="s">
        <v>17</v>
      </c>
      <c r="H13" s="99">
        <v>3</v>
      </c>
      <c r="I13" s="36" t="s">
        <v>96</v>
      </c>
      <c r="J13" s="157">
        <v>154312.63</v>
      </c>
      <c r="K13" s="156"/>
      <c r="L13" s="159"/>
      <c r="M13" s="159"/>
      <c r="N13" s="159"/>
      <c r="O13" s="159"/>
    </row>
    <row r="14" spans="1:15" ht="15.6" customHeight="1" x14ac:dyDescent="0.25">
      <c r="A14" s="37"/>
      <c r="B14" s="36">
        <v>4020</v>
      </c>
      <c r="C14" s="34" t="s">
        <v>79</v>
      </c>
      <c r="F14" s="99">
        <v>4</v>
      </c>
      <c r="G14" s="101" t="s">
        <v>18</v>
      </c>
      <c r="H14" s="99">
        <v>4</v>
      </c>
      <c r="I14" s="36" t="s">
        <v>97</v>
      </c>
      <c r="J14" s="157">
        <v>154736.81</v>
      </c>
      <c r="L14" s="159"/>
      <c r="M14" s="159"/>
      <c r="N14" s="159"/>
      <c r="O14" s="159"/>
    </row>
    <row r="15" spans="1:15" ht="15.6" customHeight="1" x14ac:dyDescent="0.25">
      <c r="A15" s="37"/>
      <c r="F15" s="99">
        <v>5</v>
      </c>
      <c r="G15" s="101" t="s">
        <v>19</v>
      </c>
      <c r="H15" s="99">
        <v>5</v>
      </c>
      <c r="I15" s="36" t="s">
        <v>98</v>
      </c>
      <c r="J15" s="157">
        <v>161471.76999999999</v>
      </c>
      <c r="L15" s="159"/>
      <c r="M15" s="159"/>
      <c r="N15" s="159"/>
      <c r="O15" s="159"/>
    </row>
    <row r="16" spans="1:15" ht="15.6" customHeight="1" x14ac:dyDescent="0.25">
      <c r="A16" s="37"/>
      <c r="C16" s="90" t="s">
        <v>61</v>
      </c>
      <c r="F16" s="99">
        <v>6</v>
      </c>
      <c r="G16" s="101" t="s">
        <v>20</v>
      </c>
      <c r="H16" s="99">
        <v>6</v>
      </c>
      <c r="I16" s="36" t="s">
        <v>99</v>
      </c>
      <c r="J16" s="157">
        <v>166190.04</v>
      </c>
      <c r="L16" s="159"/>
      <c r="M16" s="159"/>
      <c r="N16" s="159"/>
      <c r="O16" s="159"/>
    </row>
    <row r="17" spans="1:15" ht="15.6" customHeight="1" x14ac:dyDescent="0.25">
      <c r="A17" s="37"/>
      <c r="B17" s="36">
        <v>5000</v>
      </c>
      <c r="C17" s="35" t="s">
        <v>39</v>
      </c>
      <c r="F17" s="99">
        <v>7</v>
      </c>
      <c r="G17" s="101" t="s">
        <v>21</v>
      </c>
      <c r="H17" s="99">
        <v>7</v>
      </c>
      <c r="I17" s="36" t="s">
        <v>100</v>
      </c>
      <c r="J17" s="157">
        <v>171555.62</v>
      </c>
      <c r="L17" s="159"/>
      <c r="M17" s="159"/>
      <c r="N17" s="159"/>
      <c r="O17" s="159"/>
    </row>
    <row r="18" spans="1:15" ht="15.6" customHeight="1" x14ac:dyDescent="0.25">
      <c r="A18" s="37"/>
      <c r="B18" s="36">
        <v>5010</v>
      </c>
      <c r="C18" s="35" t="s">
        <v>56</v>
      </c>
      <c r="F18" s="99">
        <v>8</v>
      </c>
      <c r="G18" s="101" t="s">
        <v>22</v>
      </c>
      <c r="H18" s="99">
        <v>8</v>
      </c>
      <c r="I18" s="36" t="s">
        <v>101</v>
      </c>
      <c r="J18" s="157">
        <v>177295.74</v>
      </c>
      <c r="L18" s="159"/>
    </row>
    <row r="19" spans="1:15" ht="15.6" customHeight="1" x14ac:dyDescent="0.25">
      <c r="A19" s="37"/>
      <c r="B19" s="36">
        <v>5020</v>
      </c>
      <c r="C19" s="35" t="s">
        <v>58</v>
      </c>
      <c r="F19" s="99">
        <v>9</v>
      </c>
      <c r="G19" s="101" t="s">
        <v>23</v>
      </c>
      <c r="H19" s="99">
        <v>9</v>
      </c>
      <c r="I19" s="36" t="s">
        <v>102</v>
      </c>
      <c r="J19" s="157">
        <v>176773.15</v>
      </c>
      <c r="L19" s="158"/>
    </row>
    <row r="20" spans="1:15" ht="15.6" customHeight="1" x14ac:dyDescent="0.25">
      <c r="A20" s="37"/>
      <c r="B20" s="36">
        <v>5050</v>
      </c>
      <c r="C20" s="35" t="s">
        <v>74</v>
      </c>
      <c r="F20" s="99">
        <v>10</v>
      </c>
      <c r="G20" s="101" t="s">
        <v>24</v>
      </c>
      <c r="H20" s="99">
        <v>10</v>
      </c>
      <c r="I20" s="36" t="s">
        <v>103</v>
      </c>
      <c r="J20" s="157">
        <v>173299.15</v>
      </c>
      <c r="L20" s="159"/>
    </row>
    <row r="21" spans="1:15" ht="15.6" customHeight="1" x14ac:dyDescent="0.25">
      <c r="A21" s="37"/>
      <c r="C21" s="35"/>
      <c r="F21" s="99">
        <v>11</v>
      </c>
      <c r="G21" s="101" t="s">
        <v>13</v>
      </c>
      <c r="H21" s="99">
        <v>11</v>
      </c>
      <c r="I21" s="36" t="s">
        <v>104</v>
      </c>
      <c r="J21" s="157">
        <v>176578.4</v>
      </c>
      <c r="L21" s="158"/>
    </row>
    <row r="22" spans="1:15" ht="15.6" customHeight="1" x14ac:dyDescent="0.25">
      <c r="A22" s="37"/>
      <c r="C22" s="35"/>
      <c r="F22" s="99">
        <v>12</v>
      </c>
      <c r="G22" s="101" t="s">
        <v>25</v>
      </c>
      <c r="H22" s="99">
        <v>12</v>
      </c>
      <c r="I22" s="36" t="s">
        <v>105</v>
      </c>
      <c r="J22" s="157">
        <v>162830.37</v>
      </c>
      <c r="L22" s="159"/>
    </row>
    <row r="23" spans="1:15" ht="15.6" customHeight="1" x14ac:dyDescent="0.25">
      <c r="A23" s="37"/>
      <c r="B23"/>
      <c r="C23"/>
      <c r="D23"/>
      <c r="E23"/>
      <c r="I23" s="36" t="s">
        <v>106</v>
      </c>
      <c r="J23" s="157">
        <v>177740.97</v>
      </c>
      <c r="L23"/>
    </row>
    <row r="24" spans="1:15" ht="15.6" customHeight="1" x14ac:dyDescent="0.25">
      <c r="A24" s="37"/>
      <c r="B24"/>
      <c r="C24"/>
      <c r="D24"/>
      <c r="E24"/>
      <c r="F24"/>
      <c r="G24"/>
      <c r="I24" s="36" t="s">
        <v>107</v>
      </c>
      <c r="J24" s="157">
        <v>182433.69</v>
      </c>
      <c r="L24" s="158"/>
    </row>
    <row r="25" spans="1:15" ht="15.6" customHeight="1" x14ac:dyDescent="0.25">
      <c r="B25"/>
      <c r="C25"/>
      <c r="D25"/>
      <c r="E25"/>
      <c r="F25"/>
      <c r="G25"/>
      <c r="I25" s="36" t="s">
        <v>108</v>
      </c>
      <c r="J25" s="157">
        <v>183069.98</v>
      </c>
      <c r="L25" s="159"/>
    </row>
    <row r="26" spans="1:15" ht="15.6" customHeight="1" x14ac:dyDescent="0.25">
      <c r="B26"/>
      <c r="C26"/>
      <c r="D26"/>
      <c r="E26"/>
      <c r="F26"/>
      <c r="G26"/>
      <c r="I26" s="36" t="s">
        <v>109</v>
      </c>
      <c r="J26" s="157">
        <v>184915.23</v>
      </c>
      <c r="L26" s="158"/>
    </row>
    <row r="27" spans="1:15" ht="15.6" customHeight="1" x14ac:dyDescent="0.25">
      <c r="F27"/>
      <c r="I27" s="36" t="s">
        <v>110</v>
      </c>
      <c r="J27" s="157">
        <v>163093.63</v>
      </c>
      <c r="L27" s="159"/>
    </row>
    <row r="28" spans="1:15" ht="15.6" customHeight="1" x14ac:dyDescent="0.25">
      <c r="C28" s="35"/>
      <c r="I28" s="36" t="s">
        <v>111</v>
      </c>
      <c r="J28" s="157">
        <v>179703.69</v>
      </c>
      <c r="L28" s="158"/>
    </row>
    <row r="29" spans="1:15" ht="15.6" customHeight="1" x14ac:dyDescent="0.25">
      <c r="B29" s="37"/>
      <c r="C29" s="15"/>
      <c r="I29" s="36" t="s">
        <v>112</v>
      </c>
      <c r="J29" s="157">
        <v>188412.99</v>
      </c>
      <c r="L29" s="159"/>
    </row>
    <row r="30" spans="1:15" ht="15.6" customHeight="1" x14ac:dyDescent="0.2">
      <c r="C30" s="35"/>
      <c r="F30" s="159"/>
      <c r="I30" s="36" t="s">
        <v>113</v>
      </c>
      <c r="J30" s="157">
        <v>200809.60000000001</v>
      </c>
      <c r="L30" s="159"/>
    </row>
    <row r="31" spans="1:15" ht="15.6" customHeight="1" x14ac:dyDescent="0.25">
      <c r="C31" s="35"/>
      <c r="F31" s="159">
        <f>H31*0.05</f>
        <v>8722.560125</v>
      </c>
      <c r="G31" s="159">
        <f>SUM(J12:J31)</f>
        <v>3489024.05</v>
      </c>
      <c r="H31" s="159">
        <f>G31/20</f>
        <v>174451.20249999998</v>
      </c>
      <c r="I31" s="36" t="s">
        <v>114</v>
      </c>
      <c r="J31" s="157">
        <v>205468.52000000002</v>
      </c>
      <c r="L31"/>
    </row>
    <row r="32" spans="1:15" ht="15.6" customHeight="1" x14ac:dyDescent="0.25">
      <c r="B32" s="37"/>
      <c r="C32" s="15"/>
      <c r="I32" s="36" t="s">
        <v>115</v>
      </c>
      <c r="J32" s="157">
        <v>217990.57</v>
      </c>
      <c r="L32"/>
    </row>
    <row r="33" spans="3:12" ht="15.6" customHeight="1" x14ac:dyDescent="0.25">
      <c r="C33" s="35"/>
      <c r="I33" s="36" t="s">
        <v>116</v>
      </c>
      <c r="J33" s="157">
        <v>216627.08000000002</v>
      </c>
      <c r="L33"/>
    </row>
    <row r="34" spans="3:12" ht="15.6" customHeight="1" x14ac:dyDescent="0.25">
      <c r="C34" s="35"/>
      <c r="I34" s="36" t="s">
        <v>117</v>
      </c>
      <c r="J34" s="157">
        <v>221969.08000000002</v>
      </c>
      <c r="L34"/>
    </row>
    <row r="35" spans="3:12" ht="15.6" customHeight="1" x14ac:dyDescent="0.25">
      <c r="C35" s="35"/>
      <c r="I35" s="36" t="s">
        <v>118</v>
      </c>
      <c r="J35" s="157">
        <v>207491.06</v>
      </c>
      <c r="L35"/>
    </row>
    <row r="36" spans="3:12" ht="15.6" customHeight="1" x14ac:dyDescent="0.25">
      <c r="C36" s="35"/>
      <c r="I36" s="36" t="s">
        <v>119</v>
      </c>
      <c r="J36" s="157">
        <v>189728.96999999997</v>
      </c>
      <c r="L36"/>
    </row>
    <row r="37" spans="3:12" ht="15.6" customHeight="1" x14ac:dyDescent="0.25">
      <c r="C37" s="35"/>
      <c r="F37" s="159">
        <f>AVERAGE(J18:J37)/20</f>
        <v>9415.4166249999998</v>
      </c>
      <c r="I37" s="36" t="s">
        <v>120</v>
      </c>
      <c r="J37" s="157">
        <v>179934.77999999997</v>
      </c>
      <c r="L37"/>
    </row>
    <row r="38" spans="3:12" ht="15.6" customHeight="1" x14ac:dyDescent="0.25">
      <c r="C38" s="159"/>
      <c r="I38" s="36" t="s">
        <v>121</v>
      </c>
      <c r="J38" s="157">
        <v>164514.10999999999</v>
      </c>
      <c r="L38"/>
    </row>
    <row r="39" spans="3:12" ht="15.6" customHeight="1" x14ac:dyDescent="0.25">
      <c r="C39" s="35"/>
      <c r="F39" s="40"/>
      <c r="I39" s="36" t="s">
        <v>122</v>
      </c>
      <c r="J39" s="157">
        <v>0</v>
      </c>
      <c r="L39"/>
    </row>
    <row r="40" spans="3:12" ht="15.6" customHeight="1" x14ac:dyDescent="0.25">
      <c r="C40" s="35"/>
      <c r="I40" s="36" t="s">
        <v>123</v>
      </c>
      <c r="J40" s="157">
        <v>0</v>
      </c>
      <c r="L40"/>
    </row>
    <row r="41" spans="3:12" ht="15.6" customHeight="1" x14ac:dyDescent="0.25">
      <c r="C41" s="35"/>
      <c r="I41" s="36" t="s">
        <v>124</v>
      </c>
      <c r="J41" s="157">
        <v>0</v>
      </c>
      <c r="L41"/>
    </row>
    <row r="42" spans="3:12" ht="15.6" customHeight="1" x14ac:dyDescent="0.25">
      <c r="C42" s="35"/>
      <c r="I42" s="36" t="s">
        <v>126</v>
      </c>
      <c r="J42" s="157">
        <v>0</v>
      </c>
      <c r="L42"/>
    </row>
    <row r="43" spans="3:12" ht="15.6" customHeight="1" x14ac:dyDescent="0.25">
      <c r="C43" s="35"/>
      <c r="I43" s="36" t="s">
        <v>127</v>
      </c>
      <c r="J43" s="157">
        <v>0</v>
      </c>
      <c r="L43"/>
    </row>
    <row r="44" spans="3:12" ht="15.6" customHeight="1" x14ac:dyDescent="0.25">
      <c r="C44" s="35"/>
      <c r="I44" s="36" t="s">
        <v>128</v>
      </c>
      <c r="J44" s="157">
        <v>0</v>
      </c>
      <c r="L44"/>
    </row>
    <row r="45" spans="3:12" ht="15.6" customHeight="1" x14ac:dyDescent="0.25">
      <c r="C45" s="35"/>
      <c r="I45" s="36" t="s">
        <v>129</v>
      </c>
      <c r="J45" s="157">
        <v>0</v>
      </c>
      <c r="L45"/>
    </row>
    <row r="46" spans="3:12" ht="15.6" customHeight="1" x14ac:dyDescent="0.25">
      <c r="C46" s="35"/>
      <c r="I46" s="36" t="s">
        <v>130</v>
      </c>
      <c r="J46" s="157">
        <v>0</v>
      </c>
      <c r="L46"/>
    </row>
    <row r="47" spans="3:12" ht="15.6" customHeight="1" x14ac:dyDescent="0.2">
      <c r="C47" s="35"/>
      <c r="I47" s="36" t="s">
        <v>131</v>
      </c>
      <c r="J47" s="157">
        <v>0</v>
      </c>
      <c r="L47" s="159"/>
    </row>
    <row r="48" spans="3:12" ht="15.6" customHeight="1" x14ac:dyDescent="0.25">
      <c r="C48" s="35"/>
      <c r="E48" s="37"/>
      <c r="F48" s="40"/>
      <c r="I48" s="36" t="s">
        <v>132</v>
      </c>
      <c r="J48" s="157">
        <v>0</v>
      </c>
      <c r="L48" s="159"/>
    </row>
    <row r="49" spans="1:12" ht="15.6" customHeight="1" x14ac:dyDescent="0.2">
      <c r="C49" s="35"/>
      <c r="I49" s="36" t="s">
        <v>133</v>
      </c>
      <c r="J49" s="157">
        <v>0</v>
      </c>
      <c r="L49" s="159"/>
    </row>
    <row r="50" spans="1:12" ht="15.6" customHeight="1" x14ac:dyDescent="0.2">
      <c r="C50" s="35"/>
      <c r="I50" s="36" t="s">
        <v>134</v>
      </c>
      <c r="J50" s="157">
        <v>0</v>
      </c>
      <c r="L50" s="159"/>
    </row>
    <row r="51" spans="1:12" ht="15.6" customHeight="1" x14ac:dyDescent="0.2">
      <c r="C51" s="35"/>
      <c r="L51" s="159"/>
    </row>
    <row r="52" spans="1:12" ht="15.6" customHeight="1" x14ac:dyDescent="0.2">
      <c r="C52" s="35"/>
      <c r="L52" s="159"/>
    </row>
    <row r="53" spans="1:12" ht="15.6" customHeight="1" x14ac:dyDescent="0.2">
      <c r="L53" s="159"/>
    </row>
    <row r="54" spans="1:12" ht="15.6" customHeight="1" x14ac:dyDescent="0.25">
      <c r="B54" s="37"/>
      <c r="C54" s="15"/>
      <c r="L54" s="159"/>
    </row>
    <row r="55" spans="1:12" ht="15.6" customHeight="1" x14ac:dyDescent="0.25">
      <c r="A55" s="37"/>
      <c r="B55" s="37"/>
      <c r="C55" s="15"/>
      <c r="L55" s="159"/>
    </row>
    <row r="56" spans="1:12" ht="15.6" customHeight="1" x14ac:dyDescent="0.25">
      <c r="A56" s="37"/>
      <c r="C56" s="35"/>
      <c r="L56" s="159"/>
    </row>
    <row r="57" spans="1:12" ht="15.6" customHeight="1" x14ac:dyDescent="0.25">
      <c r="A57" s="37"/>
      <c r="C57" s="35"/>
      <c r="L57" s="159"/>
    </row>
    <row r="58" spans="1:12" ht="15.6" customHeight="1" x14ac:dyDescent="0.25">
      <c r="A58" s="37"/>
      <c r="C58" s="35"/>
      <c r="L58" s="159"/>
    </row>
    <row r="59" spans="1:12" ht="15.6" customHeight="1" x14ac:dyDescent="0.25">
      <c r="A59" s="37"/>
      <c r="C59" s="35"/>
      <c r="L59" s="159"/>
    </row>
    <row r="60" spans="1:12" ht="15.6" customHeight="1" x14ac:dyDescent="0.25">
      <c r="A60" s="37"/>
      <c r="C60" s="35"/>
      <c r="L60" s="159"/>
    </row>
    <row r="61" spans="1:12" ht="15.6" customHeight="1" x14ac:dyDescent="0.25">
      <c r="A61" s="37"/>
      <c r="C61" s="15"/>
      <c r="L61" s="159"/>
    </row>
    <row r="62" spans="1:12" ht="15.6" customHeight="1" x14ac:dyDescent="0.25">
      <c r="A62" s="37"/>
      <c r="C62" s="35"/>
      <c r="L62" s="159"/>
    </row>
    <row r="63" spans="1:12" ht="15.6" customHeight="1" x14ac:dyDescent="0.25">
      <c r="A63" s="37"/>
      <c r="C63" s="35"/>
      <c r="L63" s="159"/>
    </row>
    <row r="64" spans="1:12" ht="15.6" customHeight="1" x14ac:dyDescent="0.25">
      <c r="A64" s="37"/>
      <c r="C64" s="35"/>
    </row>
    <row r="65" spans="1:3" ht="15.6" customHeight="1" x14ac:dyDescent="0.25">
      <c r="A65" s="37"/>
      <c r="C65" s="35"/>
    </row>
    <row r="66" spans="1:3" ht="15.6" customHeight="1" x14ac:dyDescent="0.25">
      <c r="A66" s="37"/>
      <c r="C66" s="35"/>
    </row>
    <row r="67" spans="1:3" ht="15.6" customHeight="1" x14ac:dyDescent="0.25">
      <c r="A67" s="37"/>
      <c r="C67" s="35"/>
    </row>
    <row r="68" spans="1:3" ht="15.6" customHeight="1" x14ac:dyDescent="0.25">
      <c r="A68" s="37"/>
      <c r="C68" s="15"/>
    </row>
    <row r="69" spans="1:3" ht="15.6" customHeight="1" x14ac:dyDescent="0.25">
      <c r="A69" s="37"/>
      <c r="C69" s="35"/>
    </row>
    <row r="70" spans="1:3" ht="15.6" customHeight="1" x14ac:dyDescent="0.25">
      <c r="A70" s="37"/>
      <c r="C70" s="35"/>
    </row>
    <row r="71" spans="1:3" ht="15.6" customHeight="1" x14ac:dyDescent="0.25">
      <c r="A71" s="37"/>
      <c r="C71" s="35"/>
    </row>
    <row r="72" spans="1:3" ht="15.6" customHeight="1" x14ac:dyDescent="0.25">
      <c r="A72" s="37"/>
      <c r="C72" s="35"/>
    </row>
    <row r="73" spans="1:3" ht="15.6" customHeight="1" x14ac:dyDescent="0.25">
      <c r="A73" s="37"/>
      <c r="C73" s="35"/>
    </row>
    <row r="74" spans="1:3" ht="15.6" customHeight="1" x14ac:dyDescent="0.25">
      <c r="A74" s="37"/>
      <c r="C74" s="15"/>
    </row>
    <row r="75" spans="1:3" ht="15.6" customHeight="1" x14ac:dyDescent="0.25">
      <c r="A75" s="37"/>
      <c r="C75" s="35"/>
    </row>
    <row r="76" spans="1:3" ht="15.6" customHeight="1" x14ac:dyDescent="0.25">
      <c r="A76" s="37"/>
      <c r="C76" s="35"/>
    </row>
    <row r="77" spans="1:3" ht="15.6" customHeight="1" x14ac:dyDescent="0.25">
      <c r="A77" s="37"/>
      <c r="B77" s="37"/>
      <c r="C77" s="15"/>
    </row>
    <row r="78" spans="1:3" ht="15.6" customHeight="1" x14ac:dyDescent="0.25">
      <c r="A78" s="37"/>
      <c r="C78" s="35"/>
    </row>
    <row r="79" spans="1:3" ht="15.6" customHeight="1" x14ac:dyDescent="0.25">
      <c r="A79" s="37"/>
      <c r="C79" s="35"/>
    </row>
    <row r="80" spans="1:3" ht="15.6" customHeight="1" x14ac:dyDescent="0.25">
      <c r="A80" s="37"/>
      <c r="C80" s="35"/>
    </row>
    <row r="81" spans="1:4" ht="15.6" customHeight="1" x14ac:dyDescent="0.25">
      <c r="A81" s="37"/>
      <c r="C81" s="35"/>
    </row>
    <row r="82" spans="1:4" ht="15.6" customHeight="1" x14ac:dyDescent="0.25">
      <c r="A82" s="37"/>
      <c r="C82" s="35"/>
    </row>
    <row r="83" spans="1:4" ht="15.6" customHeight="1" x14ac:dyDescent="0.25">
      <c r="A83" s="37"/>
      <c r="C83" s="35"/>
    </row>
    <row r="84" spans="1:4" ht="15.6" customHeight="1" x14ac:dyDescent="0.25">
      <c r="A84" s="37"/>
      <c r="C84" s="35"/>
    </row>
    <row r="85" spans="1:4" ht="15.6" customHeight="1" x14ac:dyDescent="0.25">
      <c r="A85" s="37"/>
      <c r="C85" s="15"/>
    </row>
    <row r="86" spans="1:4" ht="15.6" customHeight="1" x14ac:dyDescent="0.25">
      <c r="A86" s="37"/>
      <c r="B86" s="37"/>
      <c r="C86" s="15"/>
    </row>
    <row r="87" spans="1:4" ht="15.6" customHeight="1" x14ac:dyDescent="0.25">
      <c r="A87" s="37"/>
      <c r="C87" s="35"/>
    </row>
    <row r="88" spans="1:4" ht="15.6" customHeight="1" x14ac:dyDescent="0.25">
      <c r="A88" s="37"/>
      <c r="C88" s="35"/>
    </row>
    <row r="89" spans="1:4" ht="15.6" customHeight="1" x14ac:dyDescent="0.25">
      <c r="A89" s="37"/>
      <c r="C89" s="35"/>
    </row>
    <row r="90" spans="1:4" ht="15.6" customHeight="1" x14ac:dyDescent="0.25">
      <c r="A90" s="37"/>
      <c r="C90" s="35"/>
    </row>
    <row r="91" spans="1:4" ht="15.6" customHeight="1" x14ac:dyDescent="0.25">
      <c r="A91" s="37"/>
      <c r="C91" s="15"/>
    </row>
    <row r="92" spans="1:4" ht="15.6" customHeight="1" x14ac:dyDescent="0.25">
      <c r="A92" s="37"/>
      <c r="C92" s="35"/>
      <c r="D92" s="35"/>
    </row>
    <row r="93" spans="1:4" ht="15.6" customHeight="1" x14ac:dyDescent="0.25">
      <c r="A93" s="37"/>
      <c r="C93" s="35"/>
      <c r="D93" s="35"/>
    </row>
    <row r="94" spans="1:4" ht="15.6" customHeight="1" x14ac:dyDescent="0.25">
      <c r="A94" s="37"/>
      <c r="C94" s="35"/>
      <c r="D94" s="35"/>
    </row>
    <row r="95" spans="1:4" ht="15.6" customHeight="1" x14ac:dyDescent="0.25">
      <c r="A95" s="37"/>
      <c r="C95" s="35"/>
      <c r="D95" s="35"/>
    </row>
    <row r="96" spans="1:4" ht="15.6" customHeight="1" x14ac:dyDescent="0.25">
      <c r="A96" s="37"/>
      <c r="C96" s="35"/>
    </row>
    <row r="97" spans="1:11" ht="15.6" customHeight="1" x14ac:dyDescent="0.25">
      <c r="A97" s="37"/>
      <c r="C97" s="15"/>
    </row>
    <row r="98" spans="1:11" ht="15.6" customHeight="1" x14ac:dyDescent="0.25">
      <c r="A98" s="37"/>
      <c r="C98" s="35"/>
    </row>
    <row r="99" spans="1:11" ht="15.6" customHeight="1" x14ac:dyDescent="0.25">
      <c r="A99" s="37"/>
      <c r="C99" s="35"/>
      <c r="G99" s="35"/>
      <c r="H99" s="35"/>
      <c r="I99" s="35"/>
      <c r="J99" s="35"/>
      <c r="K99" s="35"/>
    </row>
    <row r="100" spans="1:11" ht="15.6" customHeight="1" x14ac:dyDescent="0.25">
      <c r="A100" s="37"/>
      <c r="C100" s="35"/>
      <c r="G100" s="35"/>
      <c r="H100" s="35"/>
      <c r="I100" s="35"/>
      <c r="J100" s="35"/>
      <c r="K100" s="35"/>
    </row>
    <row r="101" spans="1:11" ht="15.6" customHeight="1" x14ac:dyDescent="0.25">
      <c r="A101" s="37"/>
      <c r="B101" s="37"/>
      <c r="C101" s="15"/>
      <c r="G101" s="35"/>
      <c r="H101" s="35"/>
      <c r="I101" s="35"/>
      <c r="J101" s="35"/>
      <c r="K101" s="35"/>
    </row>
    <row r="102" spans="1:11" ht="15.6" customHeight="1" x14ac:dyDescent="0.25">
      <c r="A102" s="37"/>
      <c r="C102" s="35"/>
      <c r="F102" s="15"/>
      <c r="G102" s="35"/>
      <c r="H102" s="35"/>
      <c r="I102" s="35"/>
      <c r="J102" s="35"/>
      <c r="K102" s="35"/>
    </row>
    <row r="103" spans="1:11" ht="15.6" customHeight="1" x14ac:dyDescent="0.25">
      <c r="A103" s="37"/>
      <c r="C103" s="35"/>
      <c r="F103" s="35"/>
      <c r="G103" s="35"/>
      <c r="H103" s="35"/>
      <c r="I103" s="35"/>
      <c r="J103" s="35"/>
      <c r="K103" s="35"/>
    </row>
    <row r="104" spans="1:11" ht="15.6" customHeight="1" x14ac:dyDescent="0.25">
      <c r="A104" s="37"/>
      <c r="C104" s="35"/>
      <c r="F104" s="35"/>
      <c r="G104" s="35"/>
      <c r="H104" s="35"/>
      <c r="I104" s="35"/>
      <c r="J104" s="35"/>
      <c r="K104" s="35"/>
    </row>
    <row r="105" spans="1:11" ht="15.6" customHeight="1" x14ac:dyDescent="0.25">
      <c r="A105" s="37"/>
      <c r="C105" s="35"/>
      <c r="F105" s="35"/>
      <c r="G105" s="35"/>
      <c r="H105" s="35"/>
      <c r="I105" s="35"/>
      <c r="J105" s="35"/>
      <c r="K105" s="35"/>
    </row>
    <row r="106" spans="1:11" ht="15.6" customHeight="1" x14ac:dyDescent="0.25">
      <c r="A106" s="37"/>
      <c r="B106" s="37"/>
      <c r="C106" s="15"/>
      <c r="F106" s="35"/>
      <c r="G106" s="35"/>
      <c r="H106" s="35"/>
      <c r="I106" s="35"/>
      <c r="J106" s="35"/>
      <c r="K106" s="35"/>
    </row>
    <row r="107" spans="1:11" ht="15.6" customHeight="1" x14ac:dyDescent="0.25">
      <c r="A107" s="37"/>
      <c r="C107" s="35"/>
      <c r="F107" s="35"/>
      <c r="G107" s="35"/>
      <c r="H107" s="35"/>
      <c r="I107" s="35"/>
      <c r="J107" s="35"/>
      <c r="K107" s="35"/>
    </row>
    <row r="108" spans="1:11" ht="15.6" customHeight="1" x14ac:dyDescent="0.25">
      <c r="A108" s="37"/>
      <c r="C108" s="35"/>
      <c r="F108" s="35"/>
      <c r="G108" s="35"/>
      <c r="H108" s="35"/>
      <c r="I108" s="35"/>
      <c r="J108" s="35"/>
      <c r="K108" s="35"/>
    </row>
    <row r="109" spans="1:11" ht="15.6" customHeight="1" x14ac:dyDescent="0.25">
      <c r="A109" s="37"/>
      <c r="C109" s="35"/>
    </row>
    <row r="110" spans="1:11" ht="15.6" customHeight="1" x14ac:dyDescent="0.25">
      <c r="A110" s="37"/>
      <c r="B110" s="52"/>
      <c r="C110" s="15"/>
    </row>
    <row r="111" spans="1:11" ht="15.75" x14ac:dyDescent="0.2">
      <c r="C111" s="40"/>
    </row>
    <row r="112" spans="1:11" x14ac:dyDescent="0.2">
      <c r="C112" s="35"/>
    </row>
    <row r="113" spans="2:3" x14ac:dyDescent="0.2">
      <c r="C113" s="35"/>
    </row>
    <row r="114" spans="2:3" ht="15.75" x14ac:dyDescent="0.25">
      <c r="B114" s="37"/>
      <c r="C114" s="40"/>
    </row>
    <row r="115" spans="2:3" x14ac:dyDescent="0.2">
      <c r="C115" s="35"/>
    </row>
    <row r="116" spans="2:3" x14ac:dyDescent="0.2">
      <c r="C116" s="35"/>
    </row>
    <row r="117" spans="2:3" x14ac:dyDescent="0.2">
      <c r="C117" s="35"/>
    </row>
    <row r="118" spans="2:3" x14ac:dyDescent="0.2">
      <c r="C118" s="35"/>
    </row>
    <row r="119" spans="2:3" ht="15.75" x14ac:dyDescent="0.25">
      <c r="B119" s="37"/>
      <c r="C119" s="40"/>
    </row>
    <row r="120" spans="2:3" x14ac:dyDescent="0.2">
      <c r="C120" s="35"/>
    </row>
    <row r="121" spans="2:3" x14ac:dyDescent="0.2">
      <c r="C121" s="35"/>
    </row>
    <row r="122" spans="2:3" x14ac:dyDescent="0.2">
      <c r="C122" s="35"/>
    </row>
    <row r="123" spans="2:3" x14ac:dyDescent="0.2">
      <c r="C123" s="35"/>
    </row>
    <row r="124" spans="2:3" x14ac:dyDescent="0.2">
      <c r="C124" s="35"/>
    </row>
    <row r="125" spans="2:3" x14ac:dyDescent="0.2">
      <c r="C125" s="35"/>
    </row>
    <row r="126" spans="2:3" x14ac:dyDescent="0.2">
      <c r="C126" s="35"/>
    </row>
    <row r="127" spans="2:3" ht="15.75" x14ac:dyDescent="0.2">
      <c r="C127" s="40"/>
    </row>
    <row r="128" spans="2:3" x14ac:dyDescent="0.2">
      <c r="C128" s="35"/>
    </row>
    <row r="129" spans="3:3" x14ac:dyDescent="0.2">
      <c r="C129" s="35"/>
    </row>
    <row r="130" spans="3:3" x14ac:dyDescent="0.2">
      <c r="C130" s="35"/>
    </row>
    <row r="131" spans="3:3" x14ac:dyDescent="0.2">
      <c r="C131" s="35"/>
    </row>
    <row r="132" spans="3:3" x14ac:dyDescent="0.2">
      <c r="C132" s="35"/>
    </row>
    <row r="133" spans="3:3" x14ac:dyDescent="0.2">
      <c r="C133" s="35"/>
    </row>
    <row r="134" spans="3:3" x14ac:dyDescent="0.2">
      <c r="C134" s="35"/>
    </row>
    <row r="135" spans="3:3" x14ac:dyDescent="0.2">
      <c r="C135" s="35"/>
    </row>
    <row r="136" spans="3:3" x14ac:dyDescent="0.2">
      <c r="C136" s="35"/>
    </row>
    <row r="137" spans="3:3" ht="15.75" x14ac:dyDescent="0.2">
      <c r="C137" s="15"/>
    </row>
    <row r="138" spans="3:3" ht="15.75" x14ac:dyDescent="0.2">
      <c r="C138" s="40"/>
    </row>
    <row r="139" spans="3:3" x14ac:dyDescent="0.2">
      <c r="C139" s="35"/>
    </row>
    <row r="140" spans="3:3" x14ac:dyDescent="0.2">
      <c r="C140" s="35"/>
    </row>
    <row r="141" spans="3:3" ht="15.75" x14ac:dyDescent="0.2">
      <c r="C141" s="40"/>
    </row>
    <row r="142" spans="3:3" x14ac:dyDescent="0.2">
      <c r="C142" s="35"/>
    </row>
    <row r="143" spans="3:3" x14ac:dyDescent="0.2">
      <c r="C143" s="35"/>
    </row>
    <row r="144" spans="3:3" x14ac:dyDescent="0.2">
      <c r="C144" s="35"/>
    </row>
    <row r="145" spans="3:3" ht="15.75" x14ac:dyDescent="0.2">
      <c r="C145" s="40"/>
    </row>
    <row r="146" spans="3:3" x14ac:dyDescent="0.2">
      <c r="C146" s="35"/>
    </row>
    <row r="147" spans="3:3" x14ac:dyDescent="0.2">
      <c r="C147" s="35"/>
    </row>
    <row r="148" spans="3:3" x14ac:dyDescent="0.2">
      <c r="C148" s="35"/>
    </row>
    <row r="149" spans="3:3" x14ac:dyDescent="0.2">
      <c r="C149" s="35"/>
    </row>
    <row r="150" spans="3:3" x14ac:dyDescent="0.2">
      <c r="C150" s="35"/>
    </row>
    <row r="151" spans="3:3" x14ac:dyDescent="0.2">
      <c r="C151" s="35"/>
    </row>
    <row r="152" spans="3:3" ht="15.75" x14ac:dyDescent="0.2">
      <c r="C152" s="15"/>
    </row>
    <row r="153" spans="3:3" x14ac:dyDescent="0.2">
      <c r="C153" s="35"/>
    </row>
    <row r="154" spans="3:3" x14ac:dyDescent="0.2">
      <c r="C154" s="35"/>
    </row>
    <row r="155" spans="3:3" x14ac:dyDescent="0.2">
      <c r="C155" s="35"/>
    </row>
    <row r="156" spans="3:3" x14ac:dyDescent="0.2">
      <c r="C156" s="35"/>
    </row>
    <row r="157" spans="3:3" x14ac:dyDescent="0.2">
      <c r="C157" s="35"/>
    </row>
    <row r="158" spans="3:3" x14ac:dyDescent="0.2">
      <c r="C158" s="35"/>
    </row>
    <row r="159" spans="3:3" x14ac:dyDescent="0.2">
      <c r="C159" s="35"/>
    </row>
    <row r="160" spans="3:3" x14ac:dyDescent="0.2">
      <c r="C160" s="35"/>
    </row>
    <row r="161" spans="3:3" x14ac:dyDescent="0.2">
      <c r="C161" s="35"/>
    </row>
    <row r="162" spans="3:3" x14ac:dyDescent="0.2">
      <c r="C162" s="35"/>
    </row>
    <row r="163" spans="3:3" ht="15.75" x14ac:dyDescent="0.2">
      <c r="C163" s="15"/>
    </row>
    <row r="164" spans="3:3" x14ac:dyDescent="0.2">
      <c r="C164" s="35"/>
    </row>
    <row r="165" spans="3:3" x14ac:dyDescent="0.2">
      <c r="C165" s="35"/>
    </row>
    <row r="166" spans="3:3" x14ac:dyDescent="0.2">
      <c r="C166" s="35"/>
    </row>
    <row r="169" spans="3:3" x14ac:dyDescent="0.2">
      <c r="C169" s="35"/>
    </row>
    <row r="173" spans="3:3" ht="15.75" x14ac:dyDescent="0.2">
      <c r="C173" s="15"/>
    </row>
    <row r="174" spans="3:3" ht="15.75" x14ac:dyDescent="0.2">
      <c r="C174" s="15"/>
    </row>
    <row r="176" spans="3:3" x14ac:dyDescent="0.2">
      <c r="C176" s="35"/>
    </row>
    <row r="178" spans="3:3" ht="15.75" x14ac:dyDescent="0.2">
      <c r="C178" s="15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 x14ac:dyDescent="0.25"/>
  <cols>
    <col min="1" max="1" width="2.85546875" style="58" customWidth="1"/>
    <col min="2" max="2" width="71.7109375" style="58" customWidth="1"/>
    <col min="3" max="3" width="10.85546875" style="58" customWidth="1"/>
    <col min="4" max="4" width="3.42578125" style="58" customWidth="1"/>
    <col min="5" max="5" width="15.7109375" style="58" customWidth="1"/>
    <col min="6" max="7" width="16.42578125" style="58" customWidth="1"/>
    <col min="8" max="16384" width="8.7109375" style="58"/>
  </cols>
  <sheetData>
    <row r="1" spans="1:9" s="55" customFormat="1" ht="31.5" x14ac:dyDescent="0.25">
      <c r="A1" s="257" t="s">
        <v>28</v>
      </c>
      <c r="B1" s="257"/>
      <c r="C1" s="257"/>
      <c r="D1" s="257"/>
      <c r="E1" s="257"/>
      <c r="F1" s="257"/>
      <c r="G1" s="257"/>
      <c r="H1" s="56"/>
    </row>
    <row r="2" spans="1:9" s="55" customFormat="1" ht="21" x14ac:dyDescent="0.25">
      <c r="A2" s="258" t="s">
        <v>43</v>
      </c>
      <c r="B2" s="258"/>
      <c r="C2" s="258"/>
      <c r="D2" s="258"/>
      <c r="E2" s="258"/>
      <c r="F2" s="258"/>
      <c r="G2" s="258"/>
      <c r="H2" s="54"/>
    </row>
    <row r="3" spans="1:9" s="55" customFormat="1" ht="5.0999999999999996" customHeight="1" x14ac:dyDescent="0.25"/>
    <row r="4" spans="1:9" ht="21" customHeight="1" x14ac:dyDescent="0.25">
      <c r="A4" s="55"/>
      <c r="B4" s="55"/>
      <c r="C4" s="55"/>
      <c r="D4" s="55"/>
      <c r="E4" s="55"/>
      <c r="F4" s="55"/>
      <c r="G4" s="55"/>
      <c r="H4" s="55"/>
      <c r="I4" s="55"/>
    </row>
    <row r="5" spans="1:9" ht="16.5" thickBot="1" x14ac:dyDescent="0.3">
      <c r="A5" s="55"/>
      <c r="B5" s="55"/>
      <c r="C5" s="75"/>
      <c r="D5" s="75"/>
      <c r="E5" s="75"/>
      <c r="F5" s="75"/>
      <c r="G5" s="75"/>
      <c r="H5" s="55"/>
      <c r="I5" s="55"/>
    </row>
    <row r="6" spans="1:9" ht="15.6" customHeight="1" thickTop="1" thickBot="1" x14ac:dyDescent="0.3">
      <c r="B6" s="259" t="s">
        <v>45</v>
      </c>
      <c r="C6" s="260"/>
      <c r="D6" s="261"/>
      <c r="E6" s="259" t="s">
        <v>44</v>
      </c>
      <c r="F6" s="259" t="s">
        <v>40</v>
      </c>
      <c r="G6" s="265" t="s">
        <v>41</v>
      </c>
      <c r="H6" s="55"/>
      <c r="I6" s="55"/>
    </row>
    <row r="7" spans="1:9" ht="23.45" customHeight="1" thickBot="1" x14ac:dyDescent="0.3">
      <c r="A7" s="60" t="s">
        <v>29</v>
      </c>
      <c r="B7" s="262"/>
      <c r="C7" s="263"/>
      <c r="D7" s="264"/>
      <c r="E7" s="262"/>
      <c r="F7" s="262"/>
      <c r="G7" s="266"/>
      <c r="H7" s="55"/>
      <c r="I7" s="55"/>
    </row>
    <row r="8" spans="1:9" ht="40.5" customHeight="1" thickBot="1" x14ac:dyDescent="0.3">
      <c r="A8" s="59">
        <v>1</v>
      </c>
      <c r="B8" s="254"/>
      <c r="C8" s="255"/>
      <c r="D8" s="256"/>
      <c r="E8" s="83"/>
      <c r="F8" s="77"/>
      <c r="G8" s="78"/>
      <c r="H8" s="55"/>
      <c r="I8" s="55"/>
    </row>
    <row r="9" spans="1:9" ht="40.5" customHeight="1" thickBot="1" x14ac:dyDescent="0.3">
      <c r="A9" s="59">
        <f>+A8+1</f>
        <v>2</v>
      </c>
      <c r="B9" s="254"/>
      <c r="C9" s="255"/>
      <c r="D9" s="256"/>
      <c r="E9" s="77"/>
      <c r="F9" s="77"/>
      <c r="G9" s="78"/>
      <c r="H9" s="55"/>
      <c r="I9" s="55"/>
    </row>
    <row r="10" spans="1:9" ht="40.5" customHeight="1" thickBot="1" x14ac:dyDescent="0.3">
      <c r="A10" s="59">
        <f t="shared" ref="A10:A28" si="0">+A9+1</f>
        <v>3</v>
      </c>
      <c r="B10" s="254"/>
      <c r="C10" s="255"/>
      <c r="D10" s="256"/>
      <c r="E10" s="77"/>
      <c r="F10" s="77"/>
      <c r="G10" s="78"/>
      <c r="H10" s="55"/>
      <c r="I10" s="55"/>
    </row>
    <row r="11" spans="1:9" ht="40.5" customHeight="1" thickBot="1" x14ac:dyDescent="0.3">
      <c r="A11" s="59">
        <f t="shared" si="0"/>
        <v>4</v>
      </c>
      <c r="B11" s="254"/>
      <c r="C11" s="255"/>
      <c r="D11" s="256"/>
      <c r="E11" s="77"/>
      <c r="F11" s="77"/>
      <c r="G11" s="78"/>
      <c r="H11" s="55"/>
      <c r="I11" s="55"/>
    </row>
    <row r="12" spans="1:9" ht="40.5" customHeight="1" thickBot="1" x14ac:dyDescent="0.3">
      <c r="A12" s="59">
        <f t="shared" si="0"/>
        <v>5</v>
      </c>
      <c r="B12" s="77"/>
      <c r="C12" s="79"/>
      <c r="D12" s="80"/>
      <c r="E12" s="77"/>
      <c r="F12" s="77"/>
      <c r="G12" s="78"/>
      <c r="H12" s="55"/>
      <c r="I12" s="55"/>
    </row>
    <row r="13" spans="1:9" ht="40.5" customHeight="1" thickBot="1" x14ac:dyDescent="0.3">
      <c r="A13" s="59">
        <f t="shared" si="0"/>
        <v>6</v>
      </c>
      <c r="B13" s="77"/>
      <c r="C13" s="79"/>
      <c r="D13" s="80"/>
      <c r="E13" s="77"/>
      <c r="F13" s="77"/>
      <c r="G13" s="78"/>
      <c r="H13" s="55"/>
      <c r="I13" s="55"/>
    </row>
    <row r="14" spans="1:9" ht="40.5" customHeight="1" thickBot="1" x14ac:dyDescent="0.3">
      <c r="A14" s="59">
        <f t="shared" si="0"/>
        <v>7</v>
      </c>
      <c r="B14" s="254"/>
      <c r="C14" s="255"/>
      <c r="D14" s="256"/>
      <c r="E14" s="77"/>
      <c r="F14" s="77"/>
      <c r="G14" s="78"/>
      <c r="H14" s="55"/>
      <c r="I14" s="55"/>
    </row>
    <row r="15" spans="1:9" ht="40.5" customHeight="1" thickBot="1" x14ac:dyDescent="0.3">
      <c r="A15" s="59">
        <f t="shared" si="0"/>
        <v>8</v>
      </c>
      <c r="B15" s="254"/>
      <c r="C15" s="255"/>
      <c r="D15" s="256"/>
      <c r="E15" s="77"/>
      <c r="F15" s="77"/>
      <c r="G15" s="78"/>
      <c r="H15" s="55"/>
      <c r="I15" s="55"/>
    </row>
    <row r="16" spans="1:9" ht="40.5" customHeight="1" thickBot="1" x14ac:dyDescent="0.3">
      <c r="A16" s="59">
        <f t="shared" si="0"/>
        <v>9</v>
      </c>
      <c r="B16" s="254"/>
      <c r="C16" s="255"/>
      <c r="D16" s="256"/>
      <c r="E16" s="77"/>
      <c r="F16" s="77"/>
      <c r="G16" s="78"/>
      <c r="H16" s="55"/>
      <c r="I16" s="55"/>
    </row>
    <row r="17" spans="1:9" ht="40.5" customHeight="1" thickBot="1" x14ac:dyDescent="0.3">
      <c r="A17" s="59">
        <f t="shared" si="0"/>
        <v>10</v>
      </c>
      <c r="B17" s="254"/>
      <c r="C17" s="255"/>
      <c r="D17" s="256"/>
      <c r="E17" s="77"/>
      <c r="F17" s="77"/>
      <c r="G17" s="81"/>
      <c r="H17" s="55"/>
      <c r="I17" s="55"/>
    </row>
    <row r="18" spans="1:9" ht="40.5" customHeight="1" thickBot="1" x14ac:dyDescent="0.3">
      <c r="A18" s="59">
        <f t="shared" si="0"/>
        <v>11</v>
      </c>
      <c r="B18" s="254"/>
      <c r="C18" s="255"/>
      <c r="D18" s="256"/>
      <c r="E18" s="77"/>
      <c r="F18" s="77"/>
      <c r="G18" s="81"/>
      <c r="H18" s="55"/>
      <c r="I18" s="55"/>
    </row>
    <row r="19" spans="1:9" ht="40.5" customHeight="1" thickBot="1" x14ac:dyDescent="0.3">
      <c r="A19" s="59">
        <f t="shared" si="0"/>
        <v>12</v>
      </c>
      <c r="B19" s="254"/>
      <c r="C19" s="255"/>
      <c r="D19" s="256"/>
      <c r="E19" s="77"/>
      <c r="F19" s="77"/>
      <c r="G19" s="81"/>
      <c r="H19" s="55"/>
      <c r="I19" s="55"/>
    </row>
    <row r="20" spans="1:9" ht="40.5" customHeight="1" thickBot="1" x14ac:dyDescent="0.3">
      <c r="A20" s="59">
        <f t="shared" si="0"/>
        <v>13</v>
      </c>
      <c r="B20" s="254"/>
      <c r="C20" s="255"/>
      <c r="D20" s="256"/>
      <c r="E20" s="77"/>
      <c r="F20" s="77"/>
      <c r="G20" s="81"/>
      <c r="H20" s="55"/>
      <c r="I20" s="55"/>
    </row>
    <row r="21" spans="1:9" ht="40.5" customHeight="1" thickBot="1" x14ac:dyDescent="0.3">
      <c r="A21" s="59">
        <f t="shared" si="0"/>
        <v>14</v>
      </c>
      <c r="B21" s="254"/>
      <c r="C21" s="255"/>
      <c r="D21" s="256"/>
      <c r="E21" s="77"/>
      <c r="F21" s="77"/>
      <c r="G21" s="81"/>
      <c r="H21" s="55"/>
      <c r="I21" s="55"/>
    </row>
    <row r="22" spans="1:9" ht="40.5" customHeight="1" thickBot="1" x14ac:dyDescent="0.3">
      <c r="A22" s="59">
        <f t="shared" si="0"/>
        <v>15</v>
      </c>
      <c r="B22" s="84"/>
      <c r="C22" s="85"/>
      <c r="D22" s="86"/>
      <c r="E22" s="77"/>
      <c r="F22" s="77"/>
      <c r="G22" s="81"/>
      <c r="H22" s="55"/>
      <c r="I22" s="55"/>
    </row>
    <row r="23" spans="1:9" ht="40.5" customHeight="1" thickBot="1" x14ac:dyDescent="0.3">
      <c r="A23" s="59">
        <f t="shared" si="0"/>
        <v>16</v>
      </c>
      <c r="B23" s="84"/>
      <c r="C23" s="85"/>
      <c r="D23" s="86"/>
      <c r="E23" s="77"/>
      <c r="F23" s="77"/>
      <c r="G23" s="81"/>
      <c r="H23" s="55"/>
      <c r="I23" s="55"/>
    </row>
    <row r="24" spans="1:9" ht="40.5" customHeight="1" thickBot="1" x14ac:dyDescent="0.3">
      <c r="A24" s="59">
        <f t="shared" si="0"/>
        <v>17</v>
      </c>
      <c r="B24" s="84"/>
      <c r="C24" s="85"/>
      <c r="D24" s="86"/>
      <c r="E24" s="77"/>
      <c r="F24" s="77"/>
      <c r="G24" s="81"/>
      <c r="H24" s="55"/>
      <c r="I24" s="55"/>
    </row>
    <row r="25" spans="1:9" ht="40.5" customHeight="1" thickBot="1" x14ac:dyDescent="0.3">
      <c r="A25" s="59">
        <f t="shared" si="0"/>
        <v>18</v>
      </c>
      <c r="B25" s="84"/>
      <c r="C25" s="85"/>
      <c r="D25" s="86"/>
      <c r="E25" s="77"/>
      <c r="F25" s="77"/>
      <c r="G25" s="81"/>
      <c r="H25" s="55"/>
      <c r="I25" s="55"/>
    </row>
    <row r="26" spans="1:9" ht="40.5" customHeight="1" thickBot="1" x14ac:dyDescent="0.3">
      <c r="A26" s="59">
        <f t="shared" si="0"/>
        <v>19</v>
      </c>
      <c r="B26" s="84"/>
      <c r="C26" s="85"/>
      <c r="D26" s="86"/>
      <c r="E26" s="77"/>
      <c r="F26" s="77"/>
      <c r="G26" s="81"/>
      <c r="H26" s="55"/>
      <c r="I26" s="55"/>
    </row>
    <row r="27" spans="1:9" ht="40.5" customHeight="1" thickBot="1" x14ac:dyDescent="0.3">
      <c r="A27" s="59">
        <f t="shared" si="0"/>
        <v>20</v>
      </c>
      <c r="B27" s="84"/>
      <c r="C27" s="85"/>
      <c r="D27" s="86"/>
      <c r="E27" s="77"/>
      <c r="F27" s="77"/>
      <c r="G27" s="81"/>
      <c r="H27" s="55"/>
      <c r="I27" s="55"/>
    </row>
    <row r="28" spans="1:9" ht="40.5" customHeight="1" thickBot="1" x14ac:dyDescent="0.3">
      <c r="A28" s="59">
        <f t="shared" si="0"/>
        <v>21</v>
      </c>
      <c r="B28" s="254"/>
      <c r="C28" s="255"/>
      <c r="D28" s="256"/>
      <c r="E28" s="77"/>
      <c r="F28" s="77"/>
      <c r="G28" s="82"/>
      <c r="H28" s="55"/>
      <c r="I28" s="55"/>
    </row>
    <row r="29" spans="1:9" ht="16.5" thickBot="1" x14ac:dyDescent="0.3">
      <c r="A29" s="55"/>
      <c r="B29" s="55"/>
      <c r="C29" s="55"/>
      <c r="D29" s="55"/>
      <c r="E29" s="55"/>
      <c r="F29" s="55"/>
      <c r="G29" s="57"/>
      <c r="H29" s="55"/>
      <c r="I29" s="55"/>
    </row>
    <row r="30" spans="1:9" ht="40.5" customHeight="1" thickTop="1" thickBot="1" x14ac:dyDescent="0.3">
      <c r="A30" s="55"/>
      <c r="B30" s="73"/>
      <c r="C30" s="76" t="s">
        <v>42</v>
      </c>
      <c r="D30" s="54"/>
      <c r="E30" s="74"/>
      <c r="F30" s="74"/>
      <c r="G30" s="74"/>
      <c r="H30" s="55"/>
      <c r="I30" s="55"/>
    </row>
    <row r="31" spans="1:9" ht="16.5" thickTop="1" x14ac:dyDescent="0.25">
      <c r="A31" s="55"/>
      <c r="B31" s="55"/>
      <c r="C31" s="55"/>
      <c r="D31" s="55"/>
      <c r="E31" s="55"/>
      <c r="F31" s="55"/>
      <c r="G31" s="55"/>
      <c r="H31" s="55"/>
      <c r="I31" s="55"/>
    </row>
    <row r="32" spans="1:9" ht="15.6" customHeight="1" x14ac:dyDescent="0.25">
      <c r="A32" s="55"/>
      <c r="B32" s="55"/>
      <c r="C32" s="55"/>
      <c r="D32" s="55"/>
      <c r="E32" s="55"/>
      <c r="F32" s="55"/>
      <c r="G32" s="55"/>
      <c r="H32" s="55"/>
      <c r="I32" s="55"/>
    </row>
    <row r="33" spans="1:9" ht="15.75" x14ac:dyDescent="0.25">
      <c r="A33" s="55"/>
      <c r="B33" s="55"/>
      <c r="C33" s="55"/>
      <c r="D33" s="55"/>
      <c r="E33" s="55"/>
      <c r="F33" s="55"/>
      <c r="G33" s="55"/>
      <c r="H33" s="55"/>
      <c r="I33" s="55"/>
    </row>
    <row r="34" spans="1:9" ht="15.75" x14ac:dyDescent="0.25">
      <c r="A34" s="55"/>
      <c r="C34" s="73"/>
      <c r="D34" s="73"/>
      <c r="E34" s="73"/>
      <c r="F34" s="73"/>
      <c r="G34" s="73"/>
      <c r="H34" s="55"/>
      <c r="I34" s="55"/>
    </row>
    <row r="35" spans="1:9" ht="15.75" x14ac:dyDescent="0.25">
      <c r="A35" s="55"/>
      <c r="B35" s="55"/>
      <c r="C35" s="55"/>
      <c r="D35" s="55"/>
      <c r="E35" s="55"/>
      <c r="F35" s="55"/>
      <c r="G35" s="55"/>
      <c r="H35" s="55"/>
      <c r="I35" s="55"/>
    </row>
    <row r="36" spans="1:9" ht="15.75" x14ac:dyDescent="0.25">
      <c r="A36" s="55"/>
      <c r="B36" s="55"/>
      <c r="C36" s="55"/>
      <c r="D36" s="55"/>
      <c r="E36" s="55"/>
      <c r="F36" s="55"/>
      <c r="G36" s="55"/>
      <c r="H36" s="55"/>
      <c r="I36" s="55"/>
    </row>
    <row r="37" spans="1:9" ht="15.75" x14ac:dyDescent="0.25">
      <c r="A37" s="55"/>
      <c r="B37" s="55"/>
      <c r="C37" s="55"/>
      <c r="D37" s="55"/>
      <c r="E37" s="55"/>
      <c r="F37" s="55"/>
      <c r="G37" s="55"/>
      <c r="H37" s="55"/>
      <c r="I37" s="55"/>
    </row>
    <row r="38" spans="1:9" ht="15.75" x14ac:dyDescent="0.25">
      <c r="A38" s="55"/>
      <c r="B38" s="55"/>
      <c r="C38" s="55"/>
      <c r="D38" s="55"/>
      <c r="E38" s="55"/>
      <c r="F38" s="55"/>
      <c r="G38" s="55"/>
      <c r="H38" s="55"/>
      <c r="I38" s="55"/>
    </row>
    <row r="39" spans="1:9" ht="15.75" x14ac:dyDescent="0.25">
      <c r="A39" s="55"/>
      <c r="B39" s="55"/>
      <c r="C39" s="55"/>
      <c r="D39" s="55"/>
      <c r="E39" s="55"/>
      <c r="F39" s="55"/>
      <c r="G39" s="55"/>
      <c r="H39" s="55"/>
      <c r="I39" s="55"/>
    </row>
    <row r="40" spans="1:9" ht="15.75" x14ac:dyDescent="0.25">
      <c r="A40" s="55"/>
      <c r="B40" s="55"/>
      <c r="C40" s="55"/>
      <c r="D40" s="55"/>
      <c r="E40" s="55"/>
      <c r="F40" s="55"/>
      <c r="G40" s="55"/>
      <c r="H40" s="55"/>
      <c r="I40" s="55"/>
    </row>
    <row r="41" spans="1:9" ht="15.75" x14ac:dyDescent="0.25">
      <c r="A41" s="55"/>
      <c r="B41" s="55"/>
      <c r="C41" s="55"/>
      <c r="D41" s="55"/>
      <c r="E41" s="55"/>
      <c r="F41" s="55"/>
      <c r="G41" s="55"/>
      <c r="H41" s="55"/>
      <c r="I41" s="55"/>
    </row>
    <row r="42" spans="1:9" ht="15.75" x14ac:dyDescent="0.25">
      <c r="A42" s="55"/>
      <c r="B42" s="55"/>
      <c r="C42" s="55"/>
      <c r="D42" s="55"/>
      <c r="E42" s="55"/>
      <c r="F42" s="55"/>
      <c r="G42" s="55"/>
      <c r="H42" s="55"/>
      <c r="I42" s="55"/>
    </row>
    <row r="43" spans="1:9" ht="15.75" x14ac:dyDescent="0.25">
      <c r="A43" s="55"/>
      <c r="B43" s="55"/>
      <c r="C43" s="55"/>
      <c r="D43" s="55"/>
      <c r="E43" s="55"/>
      <c r="F43" s="55"/>
      <c r="G43" s="55"/>
      <c r="H43" s="55"/>
      <c r="I43" s="55"/>
    </row>
    <row r="44" spans="1:9" ht="15.75" x14ac:dyDescent="0.25">
      <c r="A44" s="55"/>
      <c r="B44" s="55"/>
      <c r="C44" s="55"/>
      <c r="D44" s="55"/>
      <c r="E44" s="55"/>
      <c r="F44" s="55"/>
      <c r="G44" s="55"/>
      <c r="H44" s="55"/>
      <c r="I44" s="55"/>
    </row>
    <row r="45" spans="1:9" ht="15.75" x14ac:dyDescent="0.25">
      <c r="A45" s="55"/>
      <c r="B45" s="55"/>
      <c r="C45" s="55"/>
      <c r="D45" s="55"/>
      <c r="E45" s="55"/>
      <c r="F45" s="55"/>
      <c r="G45" s="55"/>
      <c r="H45" s="55"/>
      <c r="I45" s="55"/>
    </row>
    <row r="46" spans="1:9" ht="15.75" x14ac:dyDescent="0.25">
      <c r="A46" s="55"/>
      <c r="B46" s="55"/>
      <c r="C46" s="55"/>
      <c r="D46" s="55"/>
      <c r="E46" s="55"/>
      <c r="F46" s="55"/>
      <c r="G46" s="55"/>
      <c r="H46" s="55"/>
      <c r="I46" s="55"/>
    </row>
    <row r="47" spans="1:9" ht="15.75" x14ac:dyDescent="0.25">
      <c r="A47" s="55"/>
      <c r="B47" s="55"/>
      <c r="C47" s="55"/>
      <c r="D47" s="55"/>
      <c r="E47" s="55"/>
      <c r="F47" s="55"/>
      <c r="G47" s="55"/>
      <c r="H47" s="55"/>
      <c r="I47" s="55"/>
    </row>
    <row r="48" spans="1:9" ht="15.75" x14ac:dyDescent="0.25">
      <c r="A48" s="55"/>
      <c r="B48" s="55"/>
      <c r="C48" s="55"/>
      <c r="D48" s="55"/>
      <c r="E48" s="55"/>
      <c r="F48" s="55"/>
      <c r="G48" s="55"/>
      <c r="H48" s="55"/>
      <c r="I48" s="55"/>
    </row>
    <row r="49" spans="1:9" ht="15.75" x14ac:dyDescent="0.25">
      <c r="A49" s="55"/>
      <c r="B49" s="55"/>
      <c r="C49" s="55"/>
      <c r="D49" s="55"/>
      <c r="E49" s="55"/>
      <c r="F49" s="55"/>
      <c r="G49" s="55"/>
      <c r="H49" s="55"/>
      <c r="I49" s="55"/>
    </row>
    <row r="50" spans="1:9" ht="15.75" x14ac:dyDescent="0.25">
      <c r="A50" s="55"/>
      <c r="B50" s="55"/>
      <c r="C50" s="55"/>
      <c r="D50" s="55"/>
      <c r="E50" s="55"/>
      <c r="F50" s="55"/>
      <c r="G50" s="55"/>
      <c r="H50" s="55"/>
      <c r="I50" s="55"/>
    </row>
    <row r="51" spans="1:9" ht="15.75" x14ac:dyDescent="0.25">
      <c r="A51" s="55"/>
      <c r="B51" s="55"/>
      <c r="C51" s="55"/>
      <c r="D51" s="55"/>
      <c r="E51" s="55"/>
      <c r="F51" s="55"/>
      <c r="G51" s="55"/>
      <c r="H51" s="55"/>
      <c r="I51" s="55"/>
    </row>
    <row r="52" spans="1:9" ht="15.75" x14ac:dyDescent="0.25">
      <c r="A52" s="55"/>
      <c r="B52" s="55"/>
      <c r="C52" s="55"/>
      <c r="D52" s="55"/>
      <c r="E52" s="55"/>
      <c r="F52" s="55"/>
      <c r="G52" s="55"/>
      <c r="H52" s="55"/>
      <c r="I52" s="55"/>
    </row>
    <row r="53" spans="1:9" ht="15.75" x14ac:dyDescent="0.25">
      <c r="A53" s="55"/>
      <c r="B53" s="55"/>
      <c r="C53" s="55"/>
      <c r="D53" s="55"/>
      <c r="E53" s="55"/>
      <c r="F53" s="55"/>
      <c r="G53" s="55"/>
      <c r="H53" s="55"/>
      <c r="I53" s="55"/>
    </row>
    <row r="54" spans="1:9" ht="15.75" x14ac:dyDescent="0.25">
      <c r="A54" s="55"/>
      <c r="B54" s="55"/>
      <c r="C54" s="55"/>
      <c r="D54" s="55"/>
      <c r="E54" s="55"/>
      <c r="F54" s="55"/>
      <c r="G54" s="55"/>
      <c r="H54" s="55"/>
      <c r="I54" s="55"/>
    </row>
    <row r="55" spans="1:9" ht="15.75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9" ht="15.75" x14ac:dyDescent="0.25">
      <c r="A56" s="55"/>
      <c r="B56" s="55"/>
      <c r="C56" s="55"/>
      <c r="D56" s="55"/>
      <c r="E56" s="55"/>
      <c r="F56" s="55"/>
      <c r="G56" s="55"/>
      <c r="H56" s="55"/>
      <c r="I56" s="55"/>
    </row>
    <row r="57" spans="1:9" ht="15.75" x14ac:dyDescent="0.25">
      <c r="A57" s="55"/>
      <c r="B57" s="55"/>
      <c r="C57" s="55"/>
      <c r="D57" s="55"/>
      <c r="E57" s="55"/>
      <c r="F57" s="55"/>
      <c r="G57" s="55"/>
      <c r="H57" s="55"/>
      <c r="I57" s="55"/>
    </row>
    <row r="58" spans="1:9" ht="15.75" x14ac:dyDescent="0.25">
      <c r="A58" s="55"/>
      <c r="B58" s="55"/>
      <c r="C58" s="55"/>
      <c r="D58" s="55"/>
      <c r="E58" s="55"/>
      <c r="F58" s="55"/>
      <c r="G58" s="55"/>
      <c r="H58" s="55"/>
      <c r="I58" s="55"/>
    </row>
    <row r="59" spans="1:9" ht="15.75" x14ac:dyDescent="0.25">
      <c r="A59" s="55"/>
      <c r="B59" s="55"/>
      <c r="C59" s="55"/>
      <c r="D59" s="55"/>
      <c r="E59" s="55"/>
      <c r="F59" s="55"/>
      <c r="G59" s="55"/>
      <c r="H59" s="55"/>
      <c r="I59" s="55"/>
    </row>
    <row r="60" spans="1:9" ht="15.75" x14ac:dyDescent="0.25">
      <c r="A60" s="55"/>
      <c r="B60" s="55"/>
      <c r="C60" s="55"/>
      <c r="D60" s="55"/>
      <c r="E60" s="55"/>
      <c r="F60" s="55"/>
      <c r="G60" s="55"/>
      <c r="H60" s="55"/>
      <c r="I60" s="55"/>
    </row>
    <row r="61" spans="1:9" ht="15.75" x14ac:dyDescent="0.25">
      <c r="A61" s="55"/>
      <c r="B61" s="55"/>
      <c r="C61" s="55"/>
      <c r="D61" s="55"/>
      <c r="E61" s="55"/>
      <c r="F61" s="55"/>
      <c r="G61" s="55"/>
      <c r="H61" s="55"/>
      <c r="I61" s="55"/>
    </row>
    <row r="62" spans="1:9" ht="15.75" x14ac:dyDescent="0.25">
      <c r="A62" s="55"/>
      <c r="B62" s="55"/>
      <c r="C62" s="55"/>
      <c r="D62" s="55"/>
      <c r="E62" s="55"/>
      <c r="F62" s="55"/>
      <c r="G62" s="55"/>
      <c r="H62" s="55"/>
      <c r="I62" s="55"/>
    </row>
    <row r="63" spans="1:9" ht="15.75" x14ac:dyDescent="0.25">
      <c r="A63" s="55"/>
      <c r="B63" s="55"/>
      <c r="C63" s="55"/>
      <c r="D63" s="55"/>
      <c r="E63" s="55"/>
      <c r="F63" s="55"/>
      <c r="G63" s="55"/>
      <c r="H63" s="55"/>
      <c r="I63" s="55"/>
    </row>
    <row r="64" spans="1:9" ht="15.75" x14ac:dyDescent="0.25">
      <c r="A64" s="55"/>
      <c r="B64" s="55"/>
      <c r="C64" s="55"/>
      <c r="D64" s="55"/>
      <c r="E64" s="55"/>
      <c r="F64" s="55"/>
      <c r="G64" s="55"/>
      <c r="H64" s="55"/>
      <c r="I64" s="55"/>
    </row>
    <row r="65" spans="1:9" ht="15.75" x14ac:dyDescent="0.25">
      <c r="A65" s="55"/>
      <c r="B65" s="55"/>
      <c r="C65" s="55"/>
      <c r="D65" s="55"/>
      <c r="E65" s="55"/>
      <c r="F65" s="55"/>
      <c r="G65" s="55"/>
      <c r="H65" s="55"/>
      <c r="I65" s="55"/>
    </row>
    <row r="66" spans="1:9" ht="15.75" x14ac:dyDescent="0.25">
      <c r="A66" s="55"/>
      <c r="B66" s="55"/>
      <c r="C66" s="55"/>
      <c r="D66" s="55"/>
      <c r="E66" s="55"/>
      <c r="F66" s="55"/>
      <c r="G66" s="55"/>
      <c r="H66" s="55"/>
      <c r="I66" s="55"/>
    </row>
    <row r="67" spans="1:9" ht="15.75" x14ac:dyDescent="0.25">
      <c r="A67" s="55"/>
      <c r="B67" s="55"/>
      <c r="C67" s="55"/>
      <c r="D67" s="55"/>
      <c r="E67" s="55"/>
      <c r="F67" s="55"/>
      <c r="G67" s="55"/>
      <c r="H67" s="55"/>
      <c r="I67" s="55"/>
    </row>
    <row r="68" spans="1:9" ht="15.75" x14ac:dyDescent="0.25">
      <c r="A68" s="55"/>
      <c r="B68" s="55"/>
      <c r="C68" s="55"/>
      <c r="D68" s="55"/>
      <c r="E68" s="55"/>
      <c r="F68" s="55"/>
      <c r="G68" s="55"/>
      <c r="H68" s="55"/>
      <c r="I68" s="55"/>
    </row>
    <row r="69" spans="1:9" ht="15.75" x14ac:dyDescent="0.25">
      <c r="A69" s="55"/>
      <c r="B69" s="55"/>
      <c r="C69" s="55"/>
      <c r="D69" s="55"/>
      <c r="E69" s="55"/>
      <c r="F69" s="55"/>
      <c r="G69" s="55"/>
      <c r="H69" s="55"/>
      <c r="I69" s="55"/>
    </row>
    <row r="70" spans="1:9" ht="15.75" x14ac:dyDescent="0.25">
      <c r="A70" s="55"/>
      <c r="B70" s="55"/>
      <c r="C70" s="55"/>
      <c r="D70" s="55"/>
      <c r="E70" s="55"/>
      <c r="F70" s="55"/>
      <c r="G70" s="55"/>
      <c r="H70" s="55"/>
      <c r="I70" s="55"/>
    </row>
    <row r="71" spans="1:9" ht="15.75" x14ac:dyDescent="0.25">
      <c r="A71" s="55"/>
      <c r="B71" s="55"/>
      <c r="C71" s="55"/>
      <c r="D71" s="55"/>
      <c r="E71" s="55"/>
      <c r="F71" s="55"/>
      <c r="G71" s="55"/>
      <c r="H71" s="55"/>
      <c r="I71" s="55"/>
    </row>
    <row r="72" spans="1:9" ht="15.75" x14ac:dyDescent="0.25">
      <c r="A72" s="55"/>
      <c r="B72" s="55"/>
      <c r="C72" s="55"/>
      <c r="D72" s="55"/>
      <c r="E72" s="55"/>
      <c r="F72" s="55"/>
      <c r="G72" s="55"/>
      <c r="H72" s="55"/>
      <c r="I72" s="55"/>
    </row>
    <row r="73" spans="1:9" ht="15.75" x14ac:dyDescent="0.25">
      <c r="A73" s="55"/>
      <c r="B73" s="55"/>
      <c r="C73" s="55"/>
      <c r="D73" s="55"/>
      <c r="E73" s="55"/>
      <c r="F73" s="55"/>
      <c r="G73" s="55"/>
      <c r="H73" s="55"/>
      <c r="I73" s="55"/>
    </row>
    <row r="74" spans="1:9" ht="15.75" x14ac:dyDescent="0.25">
      <c r="A74" s="55"/>
      <c r="B74" s="55"/>
      <c r="C74" s="55"/>
      <c r="D74" s="55"/>
      <c r="E74" s="55"/>
      <c r="F74" s="55"/>
      <c r="G74" s="55"/>
      <c r="H74" s="55"/>
      <c r="I74" s="55"/>
    </row>
    <row r="75" spans="1:9" ht="15.75" x14ac:dyDescent="0.25">
      <c r="A75" s="55"/>
      <c r="B75" s="55"/>
      <c r="C75" s="55"/>
      <c r="D75" s="55"/>
      <c r="E75" s="55"/>
      <c r="F75" s="55"/>
      <c r="G75" s="55"/>
      <c r="H75" s="55"/>
      <c r="I75" s="55"/>
    </row>
    <row r="76" spans="1:9" ht="15.75" x14ac:dyDescent="0.25">
      <c r="A76" s="55"/>
      <c r="B76" s="55"/>
      <c r="C76" s="55"/>
      <c r="D76" s="55"/>
      <c r="E76" s="55"/>
      <c r="F76" s="55"/>
      <c r="G76" s="55"/>
      <c r="H76" s="55"/>
      <c r="I76" s="55"/>
    </row>
    <row r="77" spans="1:9" ht="15.75" x14ac:dyDescent="0.25">
      <c r="A77" s="55"/>
      <c r="B77" s="55"/>
      <c r="C77" s="55"/>
      <c r="D77" s="55"/>
      <c r="E77" s="55"/>
      <c r="F77" s="55"/>
      <c r="G77" s="55"/>
      <c r="H77" s="55"/>
      <c r="I77" s="55"/>
    </row>
    <row r="78" spans="1:9" ht="15.75" x14ac:dyDescent="0.25">
      <c r="A78" s="55"/>
      <c r="B78" s="55"/>
      <c r="C78" s="55"/>
      <c r="D78" s="55"/>
      <c r="E78" s="55"/>
      <c r="F78" s="55"/>
      <c r="G78" s="55"/>
      <c r="H78" s="55"/>
      <c r="I78" s="55"/>
    </row>
    <row r="79" spans="1:9" ht="15.75" x14ac:dyDescent="0.25">
      <c r="A79" s="55"/>
      <c r="B79" s="55"/>
      <c r="C79" s="55"/>
      <c r="D79" s="55"/>
      <c r="E79" s="55"/>
      <c r="F79" s="55"/>
      <c r="G79" s="55"/>
      <c r="H79" s="55"/>
      <c r="I79" s="55"/>
    </row>
    <row r="80" spans="1:9" ht="15.75" x14ac:dyDescent="0.25">
      <c r="A80" s="55"/>
      <c r="B80" s="55"/>
      <c r="C80" s="55"/>
      <c r="D80" s="55"/>
      <c r="E80" s="55"/>
      <c r="F80" s="55"/>
      <c r="G80" s="55"/>
      <c r="H80" s="55"/>
      <c r="I80" s="55"/>
    </row>
    <row r="81" spans="1:9" ht="15.75" x14ac:dyDescent="0.25">
      <c r="A81" s="55"/>
      <c r="B81" s="55"/>
      <c r="C81" s="55"/>
      <c r="D81" s="55"/>
      <c r="E81" s="55"/>
      <c r="F81" s="55"/>
      <c r="G81" s="55"/>
      <c r="H81" s="55"/>
      <c r="I81" s="55"/>
    </row>
    <row r="82" spans="1:9" ht="15.75" x14ac:dyDescent="0.25">
      <c r="A82" s="55"/>
      <c r="B82" s="55"/>
      <c r="C82" s="55"/>
      <c r="D82" s="55"/>
      <c r="E82" s="55"/>
      <c r="F82" s="55"/>
      <c r="G82" s="55"/>
      <c r="H82" s="55"/>
      <c r="I82" s="55"/>
    </row>
    <row r="83" spans="1:9" ht="15.75" x14ac:dyDescent="0.25">
      <c r="A83" s="55"/>
      <c r="B83" s="55"/>
      <c r="C83" s="55"/>
      <c r="D83" s="55"/>
      <c r="E83" s="55"/>
      <c r="F83" s="55"/>
      <c r="G83" s="55"/>
      <c r="H83" s="55"/>
      <c r="I83" s="55"/>
    </row>
    <row r="84" spans="1:9" ht="15.75" x14ac:dyDescent="0.25">
      <c r="A84" s="55"/>
      <c r="B84" s="55"/>
      <c r="C84" s="55"/>
      <c r="D84" s="55"/>
      <c r="E84" s="55"/>
      <c r="F84" s="55"/>
      <c r="G84" s="55"/>
      <c r="H84" s="55"/>
      <c r="I84" s="55"/>
    </row>
    <row r="85" spans="1:9" ht="15.75" x14ac:dyDescent="0.25">
      <c r="A85" s="55"/>
      <c r="B85" s="55"/>
      <c r="C85" s="55"/>
      <c r="D85" s="55"/>
      <c r="E85" s="55"/>
      <c r="F85" s="55"/>
      <c r="G85" s="55"/>
      <c r="H85" s="55"/>
      <c r="I85" s="55"/>
    </row>
    <row r="86" spans="1:9" ht="15.75" x14ac:dyDescent="0.25">
      <c r="A86" s="55"/>
      <c r="B86" s="55"/>
      <c r="C86" s="55"/>
      <c r="D86" s="55"/>
      <c r="E86" s="55"/>
      <c r="F86" s="55"/>
      <c r="G86" s="55"/>
      <c r="H86" s="55"/>
      <c r="I86" s="55"/>
    </row>
    <row r="87" spans="1:9" ht="15.75" x14ac:dyDescent="0.25">
      <c r="A87" s="55"/>
      <c r="B87" s="55"/>
      <c r="C87" s="55"/>
      <c r="D87" s="55"/>
      <c r="E87" s="55"/>
      <c r="F87" s="55"/>
      <c r="G87" s="55"/>
      <c r="H87" s="55"/>
      <c r="I87" s="55"/>
    </row>
    <row r="88" spans="1:9" ht="15.75" x14ac:dyDescent="0.25">
      <c r="A88" s="55"/>
      <c r="B88" s="55"/>
      <c r="C88" s="55"/>
      <c r="D88" s="55"/>
      <c r="E88" s="55"/>
      <c r="F88" s="55"/>
      <c r="G88" s="55"/>
      <c r="H88" s="55"/>
      <c r="I88" s="55"/>
    </row>
    <row r="89" spans="1:9" ht="15.75" x14ac:dyDescent="0.25">
      <c r="A89" s="55"/>
      <c r="B89" s="55"/>
      <c r="C89" s="55"/>
      <c r="D89" s="55"/>
      <c r="E89" s="55"/>
      <c r="F89" s="55"/>
      <c r="G89" s="55"/>
      <c r="H89" s="55"/>
      <c r="I89" s="55"/>
    </row>
    <row r="90" spans="1:9" ht="15.75" x14ac:dyDescent="0.25">
      <c r="A90" s="55"/>
      <c r="B90" s="55"/>
      <c r="C90" s="55"/>
      <c r="D90" s="55"/>
      <c r="E90" s="55"/>
      <c r="F90" s="55"/>
      <c r="G90" s="55"/>
      <c r="H90" s="55"/>
      <c r="I90" s="55"/>
    </row>
    <row r="91" spans="1:9" ht="15.75" x14ac:dyDescent="0.25">
      <c r="A91" s="55"/>
      <c r="B91" s="55"/>
      <c r="C91" s="55"/>
      <c r="D91" s="55"/>
      <c r="E91" s="55"/>
      <c r="F91" s="55"/>
      <c r="G91" s="55"/>
      <c r="H91" s="55"/>
      <c r="I91" s="55"/>
    </row>
    <row r="92" spans="1:9" ht="15.75" x14ac:dyDescent="0.25">
      <c r="A92" s="55"/>
      <c r="B92" s="55"/>
      <c r="C92" s="55"/>
      <c r="D92" s="55"/>
      <c r="E92" s="55"/>
      <c r="F92" s="55"/>
      <c r="G92" s="55"/>
      <c r="H92" s="55"/>
      <c r="I92" s="55"/>
    </row>
    <row r="93" spans="1:9" ht="15.75" x14ac:dyDescent="0.25">
      <c r="A93" s="55"/>
      <c r="B93" s="55"/>
      <c r="C93" s="55"/>
      <c r="D93" s="55"/>
      <c r="E93" s="55"/>
      <c r="F93" s="55"/>
      <c r="G93" s="55"/>
      <c r="H93" s="55"/>
      <c r="I93" s="55"/>
    </row>
    <row r="94" spans="1:9" ht="15.75" x14ac:dyDescent="0.25">
      <c r="A94" s="55"/>
      <c r="B94" s="55"/>
      <c r="C94" s="55"/>
      <c r="D94" s="55"/>
      <c r="E94" s="55"/>
      <c r="F94" s="55"/>
      <c r="G94" s="55"/>
      <c r="H94" s="55"/>
      <c r="I94" s="55"/>
    </row>
    <row r="95" spans="1:9" ht="15.75" x14ac:dyDescent="0.25">
      <c r="A95" s="55"/>
      <c r="B95" s="55"/>
      <c r="C95" s="55"/>
      <c r="D95" s="55"/>
      <c r="E95" s="55"/>
      <c r="F95" s="55"/>
      <c r="G95" s="55"/>
      <c r="H95" s="55"/>
      <c r="I95" s="55"/>
    </row>
    <row r="96" spans="1:9" ht="15.75" x14ac:dyDescent="0.25">
      <c r="A96" s="55"/>
      <c r="B96" s="55"/>
      <c r="C96" s="55"/>
      <c r="D96" s="55"/>
      <c r="E96" s="55"/>
      <c r="F96" s="55"/>
      <c r="G96" s="55"/>
      <c r="H96" s="55"/>
      <c r="I96" s="55"/>
    </row>
    <row r="97" spans="1:9" ht="15.75" x14ac:dyDescent="0.25">
      <c r="A97" s="55"/>
      <c r="B97" s="55"/>
      <c r="C97" s="55"/>
      <c r="D97" s="55"/>
      <c r="E97" s="55"/>
      <c r="F97" s="55"/>
      <c r="G97" s="55"/>
      <c r="H97" s="55"/>
      <c r="I97" s="55"/>
    </row>
    <row r="98" spans="1:9" ht="15.75" x14ac:dyDescent="0.25">
      <c r="A98" s="55"/>
      <c r="B98" s="55"/>
      <c r="C98" s="55"/>
      <c r="D98" s="55"/>
      <c r="E98" s="55"/>
      <c r="F98" s="55"/>
      <c r="G98" s="55"/>
      <c r="H98" s="55"/>
      <c r="I98" s="55"/>
    </row>
    <row r="99" spans="1:9" ht="15.75" x14ac:dyDescent="0.25">
      <c r="A99" s="55"/>
      <c r="B99" s="55"/>
      <c r="C99" s="55"/>
      <c r="D99" s="55"/>
      <c r="E99" s="55"/>
      <c r="F99" s="55"/>
      <c r="G99" s="55"/>
      <c r="H99" s="55"/>
      <c r="I99" s="55"/>
    </row>
    <row r="100" spans="1:9" ht="15.75" x14ac:dyDescent="0.25">
      <c r="A100" s="55"/>
      <c r="B100" s="55"/>
      <c r="C100" s="55"/>
      <c r="D100" s="55"/>
      <c r="E100" s="55"/>
      <c r="F100" s="55"/>
      <c r="G100" s="55"/>
      <c r="H100" s="55"/>
      <c r="I100" s="55"/>
    </row>
    <row r="101" spans="1:9" ht="15.75" x14ac:dyDescent="0.25">
      <c r="A101" s="55"/>
      <c r="B101" s="55"/>
      <c r="C101" s="55"/>
      <c r="D101" s="55"/>
      <c r="E101" s="55"/>
      <c r="F101" s="55"/>
      <c r="G101" s="55"/>
      <c r="H101" s="55"/>
      <c r="I101" s="55"/>
    </row>
    <row r="102" spans="1:9" ht="15.75" x14ac:dyDescent="0.25">
      <c r="A102" s="55"/>
      <c r="B102" s="55"/>
      <c r="C102" s="55"/>
      <c r="D102" s="55"/>
      <c r="E102" s="55"/>
      <c r="F102" s="55"/>
      <c r="G102" s="55"/>
      <c r="H102" s="55"/>
      <c r="I102" s="55"/>
    </row>
    <row r="103" spans="1:9" ht="15.75" x14ac:dyDescent="0.25">
      <c r="A103" s="55"/>
      <c r="B103" s="55"/>
      <c r="C103" s="55"/>
      <c r="D103" s="55"/>
      <c r="E103" s="55"/>
      <c r="F103" s="55"/>
      <c r="G103" s="55"/>
      <c r="H103" s="55"/>
      <c r="I103" s="55"/>
    </row>
    <row r="104" spans="1:9" ht="15.75" x14ac:dyDescent="0.25">
      <c r="A104" s="55"/>
      <c r="B104" s="55"/>
      <c r="C104" s="55"/>
      <c r="D104" s="55"/>
      <c r="E104" s="55"/>
      <c r="F104" s="55"/>
      <c r="G104" s="55"/>
      <c r="H104" s="55"/>
      <c r="I104" s="55"/>
    </row>
    <row r="105" spans="1:9" ht="15.75" x14ac:dyDescent="0.25">
      <c r="A105" s="55"/>
      <c r="B105" s="55"/>
      <c r="C105" s="55"/>
      <c r="D105" s="55"/>
      <c r="E105" s="55"/>
      <c r="F105" s="55"/>
      <c r="G105" s="55"/>
      <c r="H105" s="55"/>
      <c r="I105" s="55"/>
    </row>
    <row r="106" spans="1:9" ht="15.75" x14ac:dyDescent="0.25">
      <c r="A106" s="55"/>
      <c r="B106" s="55"/>
      <c r="C106" s="55"/>
      <c r="D106" s="55"/>
      <c r="E106" s="55"/>
      <c r="F106" s="55"/>
      <c r="G106" s="55"/>
      <c r="H106" s="55"/>
      <c r="I106" s="55"/>
    </row>
    <row r="107" spans="1:9" ht="15.75" x14ac:dyDescent="0.25">
      <c r="A107" s="55"/>
      <c r="B107" s="55"/>
      <c r="C107" s="55"/>
      <c r="D107" s="55"/>
      <c r="E107" s="55"/>
      <c r="F107" s="55"/>
      <c r="G107" s="55"/>
      <c r="H107" s="55"/>
      <c r="I107" s="55"/>
    </row>
    <row r="108" spans="1:9" ht="15.75" x14ac:dyDescent="0.25">
      <c r="A108" s="55"/>
      <c r="B108" s="55"/>
      <c r="C108" s="55"/>
      <c r="D108" s="55"/>
      <c r="E108" s="55"/>
      <c r="F108" s="55"/>
      <c r="G108" s="55"/>
      <c r="H108" s="55"/>
      <c r="I108" s="55"/>
    </row>
    <row r="109" spans="1:9" ht="15.75" x14ac:dyDescent="0.25">
      <c r="A109" s="55"/>
      <c r="B109" s="55"/>
      <c r="C109" s="55"/>
      <c r="D109" s="55"/>
      <c r="E109" s="55"/>
      <c r="F109" s="55"/>
      <c r="G109" s="55"/>
      <c r="H109" s="55"/>
      <c r="I109" s="55"/>
    </row>
    <row r="110" spans="1:9" ht="15.75" x14ac:dyDescent="0.25">
      <c r="A110" s="55"/>
      <c r="B110" s="55"/>
      <c r="C110" s="55"/>
      <c r="D110" s="55"/>
      <c r="E110" s="55"/>
      <c r="F110" s="55"/>
      <c r="G110" s="55"/>
      <c r="H110" s="55"/>
      <c r="I110" s="55"/>
    </row>
    <row r="111" spans="1:9" ht="15.75" x14ac:dyDescent="0.25">
      <c r="A111" s="55"/>
      <c r="B111" s="55"/>
      <c r="C111" s="55"/>
      <c r="D111" s="55"/>
      <c r="E111" s="55"/>
      <c r="F111" s="55"/>
      <c r="G111" s="55"/>
      <c r="H111" s="55"/>
      <c r="I111" s="55"/>
    </row>
    <row r="112" spans="1:9" ht="15.75" x14ac:dyDescent="0.25">
      <c r="A112" s="55"/>
      <c r="B112" s="55"/>
      <c r="C112" s="55"/>
      <c r="D112" s="55"/>
      <c r="E112" s="55"/>
      <c r="F112" s="55"/>
      <c r="G112" s="55"/>
      <c r="H112" s="55"/>
      <c r="I112" s="55"/>
    </row>
    <row r="113" spans="1:9" ht="15.75" x14ac:dyDescent="0.25">
      <c r="A113" s="55"/>
      <c r="B113" s="55"/>
      <c r="C113" s="55"/>
      <c r="D113" s="55"/>
      <c r="E113" s="55"/>
      <c r="F113" s="55"/>
      <c r="G113" s="55"/>
      <c r="H113" s="55"/>
      <c r="I113" s="55"/>
    </row>
    <row r="114" spans="1:9" ht="15.75" x14ac:dyDescent="0.25">
      <c r="A114" s="55"/>
      <c r="B114" s="55"/>
      <c r="C114" s="55"/>
      <c r="D114" s="55"/>
      <c r="E114" s="55"/>
      <c r="F114" s="55"/>
      <c r="G114" s="55"/>
      <c r="H114" s="55"/>
      <c r="I114" s="55"/>
    </row>
    <row r="115" spans="1:9" ht="15.75" x14ac:dyDescent="0.25">
      <c r="A115" s="55"/>
      <c r="B115" s="55"/>
      <c r="C115" s="55"/>
      <c r="D115" s="55"/>
      <c r="E115" s="55"/>
      <c r="F115" s="55"/>
      <c r="G115" s="55"/>
      <c r="H115" s="55"/>
      <c r="I115" s="55"/>
    </row>
    <row r="116" spans="1:9" ht="15.75" x14ac:dyDescent="0.25">
      <c r="A116" s="55"/>
      <c r="B116" s="55"/>
      <c r="C116" s="55"/>
      <c r="D116" s="55"/>
      <c r="E116" s="55"/>
      <c r="F116" s="55"/>
      <c r="G116" s="55"/>
      <c r="H116" s="55"/>
      <c r="I116" s="55"/>
    </row>
    <row r="117" spans="1:9" ht="15.75" x14ac:dyDescent="0.25">
      <c r="A117" s="55"/>
      <c r="B117" s="55"/>
      <c r="C117" s="55"/>
      <c r="D117" s="55"/>
      <c r="E117" s="55"/>
      <c r="F117" s="55"/>
      <c r="G117" s="55"/>
      <c r="H117" s="55"/>
      <c r="I117" s="55"/>
    </row>
    <row r="118" spans="1:9" ht="15.75" x14ac:dyDescent="0.25">
      <c r="A118" s="55"/>
      <c r="B118" s="55"/>
      <c r="C118" s="55"/>
      <c r="D118" s="55"/>
      <c r="E118" s="55"/>
      <c r="F118" s="55"/>
      <c r="G118" s="55"/>
      <c r="H118" s="55"/>
      <c r="I118" s="55"/>
    </row>
    <row r="119" spans="1:9" ht="15.75" x14ac:dyDescent="0.25">
      <c r="A119" s="55"/>
      <c r="B119" s="55"/>
      <c r="C119" s="55"/>
      <c r="D119" s="55"/>
      <c r="E119" s="55"/>
      <c r="F119" s="55"/>
      <c r="G119" s="55"/>
      <c r="H119" s="55"/>
      <c r="I119" s="55"/>
    </row>
    <row r="120" spans="1:9" ht="15.75" x14ac:dyDescent="0.25">
      <c r="A120" s="55"/>
      <c r="B120" s="55"/>
      <c r="C120" s="55"/>
      <c r="D120" s="55"/>
      <c r="E120" s="55"/>
      <c r="F120" s="55"/>
      <c r="G120" s="55"/>
      <c r="H120" s="55"/>
      <c r="I120" s="55"/>
    </row>
    <row r="121" spans="1:9" ht="15.75" x14ac:dyDescent="0.25">
      <c r="A121" s="55"/>
      <c r="B121" s="55"/>
      <c r="C121" s="55"/>
      <c r="D121" s="55"/>
      <c r="E121" s="55"/>
      <c r="F121" s="55"/>
      <c r="G121" s="55"/>
      <c r="H121" s="55"/>
      <c r="I121" s="55"/>
    </row>
    <row r="122" spans="1:9" ht="15.75" x14ac:dyDescent="0.25">
      <c r="A122" s="55"/>
      <c r="B122" s="55"/>
      <c r="C122" s="55"/>
      <c r="D122" s="55"/>
      <c r="E122" s="55"/>
      <c r="F122" s="55"/>
      <c r="G122" s="55"/>
      <c r="H122" s="55"/>
      <c r="I122" s="55"/>
    </row>
    <row r="123" spans="1:9" ht="15.75" x14ac:dyDescent="0.25">
      <c r="A123" s="55"/>
      <c r="B123" s="55"/>
      <c r="C123" s="55"/>
      <c r="D123" s="55"/>
      <c r="E123" s="55"/>
      <c r="F123" s="55"/>
      <c r="G123" s="55"/>
      <c r="H123" s="55"/>
      <c r="I123" s="55"/>
    </row>
    <row r="124" spans="1:9" ht="15.75" x14ac:dyDescent="0.25">
      <c r="A124" s="55"/>
      <c r="B124" s="55"/>
      <c r="C124" s="55"/>
      <c r="D124" s="55"/>
      <c r="E124" s="55"/>
      <c r="F124" s="55"/>
      <c r="G124" s="55"/>
      <c r="H124" s="55"/>
      <c r="I124" s="55"/>
    </row>
    <row r="125" spans="1:9" ht="15.75" x14ac:dyDescent="0.25">
      <c r="A125" s="55"/>
      <c r="B125" s="55"/>
      <c r="C125" s="55"/>
      <c r="D125" s="55"/>
      <c r="E125" s="55"/>
      <c r="F125" s="55"/>
      <c r="G125" s="55"/>
      <c r="H125" s="55"/>
      <c r="I125" s="55"/>
    </row>
    <row r="126" spans="1:9" ht="15.75" x14ac:dyDescent="0.25">
      <c r="A126" s="55"/>
      <c r="B126" s="55"/>
      <c r="C126" s="55"/>
      <c r="D126" s="55"/>
      <c r="E126" s="55"/>
      <c r="F126" s="55"/>
      <c r="G126" s="55"/>
      <c r="H126" s="55"/>
      <c r="I126" s="55"/>
    </row>
    <row r="127" spans="1:9" ht="15.75" x14ac:dyDescent="0.25">
      <c r="A127" s="55"/>
      <c r="B127" s="55"/>
      <c r="C127" s="55"/>
      <c r="D127" s="55"/>
      <c r="E127" s="55"/>
      <c r="F127" s="55"/>
      <c r="G127" s="55"/>
      <c r="H127" s="55"/>
      <c r="I127" s="55"/>
    </row>
    <row r="128" spans="1:9" ht="15.75" x14ac:dyDescent="0.25">
      <c r="A128" s="55"/>
      <c r="B128" s="55"/>
      <c r="C128" s="55"/>
      <c r="D128" s="55"/>
      <c r="E128" s="55"/>
      <c r="F128" s="55"/>
      <c r="G128" s="55"/>
      <c r="H128" s="55"/>
      <c r="I128" s="55"/>
    </row>
    <row r="129" spans="1:9" ht="15.75" x14ac:dyDescent="0.25">
      <c r="A129" s="55"/>
      <c r="B129" s="55"/>
      <c r="C129" s="55"/>
      <c r="D129" s="55"/>
      <c r="E129" s="55"/>
      <c r="F129" s="55"/>
      <c r="G129" s="55"/>
      <c r="H129" s="55"/>
      <c r="I129" s="55"/>
    </row>
    <row r="130" spans="1:9" ht="15.75" x14ac:dyDescent="0.25">
      <c r="A130" s="55"/>
      <c r="B130" s="55"/>
      <c r="C130" s="55"/>
      <c r="D130" s="55"/>
      <c r="E130" s="55"/>
      <c r="F130" s="55"/>
      <c r="G130" s="55"/>
      <c r="H130" s="55"/>
      <c r="I130" s="55"/>
    </row>
    <row r="131" spans="1:9" ht="15.75" x14ac:dyDescent="0.25">
      <c r="A131" s="55"/>
      <c r="B131" s="55"/>
      <c r="C131" s="55"/>
      <c r="D131" s="55"/>
      <c r="E131" s="55"/>
      <c r="F131" s="55"/>
      <c r="G131" s="55"/>
      <c r="H131" s="55"/>
      <c r="I131" s="55"/>
    </row>
    <row r="132" spans="1:9" ht="15.75" x14ac:dyDescent="0.25">
      <c r="A132" s="55"/>
      <c r="B132" s="55"/>
      <c r="C132" s="55"/>
      <c r="D132" s="55"/>
      <c r="E132" s="55"/>
      <c r="F132" s="55"/>
      <c r="G132" s="55"/>
      <c r="H132" s="55"/>
      <c r="I132" s="55"/>
    </row>
    <row r="133" spans="1:9" ht="15.75" x14ac:dyDescent="0.25">
      <c r="A133" s="55"/>
      <c r="B133" s="55"/>
      <c r="C133" s="55"/>
      <c r="D133" s="55"/>
      <c r="E133" s="55"/>
      <c r="F133" s="55"/>
      <c r="G133" s="55"/>
      <c r="H133" s="55"/>
      <c r="I133" s="55"/>
    </row>
    <row r="134" spans="1:9" ht="15.75" x14ac:dyDescent="0.25">
      <c r="A134" s="55"/>
      <c r="B134" s="55"/>
      <c r="C134" s="55"/>
      <c r="D134" s="55"/>
      <c r="E134" s="55"/>
      <c r="F134" s="55"/>
      <c r="G134" s="55"/>
      <c r="H134" s="55"/>
      <c r="I134" s="55"/>
    </row>
    <row r="135" spans="1:9" ht="15.75" x14ac:dyDescent="0.25">
      <c r="A135" s="55"/>
      <c r="B135" s="55"/>
      <c r="C135" s="55"/>
      <c r="D135" s="55"/>
      <c r="E135" s="55"/>
      <c r="F135" s="55"/>
      <c r="G135" s="55"/>
      <c r="H135" s="55"/>
      <c r="I135" s="55"/>
    </row>
    <row r="136" spans="1:9" ht="15.75" x14ac:dyDescent="0.25">
      <c r="A136" s="55"/>
      <c r="B136" s="55"/>
      <c r="C136" s="55"/>
      <c r="D136" s="55"/>
      <c r="E136" s="55"/>
      <c r="F136" s="55"/>
      <c r="G136" s="55"/>
      <c r="H136" s="55"/>
      <c r="I136" s="55"/>
    </row>
    <row r="137" spans="1:9" ht="15.75" x14ac:dyDescent="0.25">
      <c r="A137" s="55"/>
      <c r="B137" s="55"/>
      <c r="C137" s="55"/>
      <c r="D137" s="55"/>
      <c r="E137" s="55"/>
      <c r="F137" s="55"/>
      <c r="G137" s="55"/>
      <c r="H137" s="55"/>
      <c r="I137" s="55"/>
    </row>
    <row r="138" spans="1:9" ht="15.75" x14ac:dyDescent="0.25">
      <c r="A138" s="55"/>
      <c r="B138" s="55"/>
      <c r="C138" s="55"/>
      <c r="D138" s="55"/>
      <c r="E138" s="55"/>
      <c r="F138" s="55"/>
      <c r="G138" s="55"/>
      <c r="H138" s="55"/>
      <c r="I138" s="55"/>
    </row>
    <row r="139" spans="1:9" ht="15.75" x14ac:dyDescent="0.25">
      <c r="A139" s="55"/>
      <c r="B139" s="55"/>
      <c r="C139" s="55"/>
      <c r="D139" s="55"/>
      <c r="E139" s="55"/>
      <c r="F139" s="55"/>
      <c r="G139" s="55"/>
      <c r="H139" s="55"/>
      <c r="I139" s="55"/>
    </row>
    <row r="140" spans="1:9" ht="15.75" x14ac:dyDescent="0.25">
      <c r="A140" s="55"/>
      <c r="B140" s="55"/>
      <c r="C140" s="55"/>
      <c r="D140" s="55"/>
      <c r="E140" s="55"/>
      <c r="F140" s="55"/>
      <c r="G140" s="55"/>
      <c r="H140" s="55"/>
      <c r="I140" s="55"/>
    </row>
    <row r="141" spans="1:9" ht="15.75" x14ac:dyDescent="0.25">
      <c r="A141" s="55"/>
      <c r="B141" s="55"/>
      <c r="C141" s="55"/>
      <c r="D141" s="55"/>
      <c r="E141" s="55"/>
      <c r="F141" s="55"/>
      <c r="G141" s="55"/>
      <c r="H141" s="55"/>
      <c r="I141" s="55"/>
    </row>
    <row r="142" spans="1:9" ht="15.75" x14ac:dyDescent="0.25">
      <c r="A142" s="55"/>
      <c r="B142" s="55"/>
      <c r="C142" s="55"/>
      <c r="D142" s="55"/>
      <c r="E142" s="55"/>
      <c r="F142" s="55"/>
      <c r="G142" s="55"/>
      <c r="H142" s="55"/>
      <c r="I142" s="55"/>
    </row>
    <row r="143" spans="1:9" ht="15.75" x14ac:dyDescent="0.25">
      <c r="A143" s="55"/>
      <c r="B143" s="55"/>
      <c r="C143" s="55"/>
      <c r="D143" s="55"/>
      <c r="E143" s="55"/>
      <c r="F143" s="55"/>
      <c r="G143" s="55"/>
      <c r="H143" s="55"/>
      <c r="I143" s="55"/>
    </row>
    <row r="144" spans="1:9" ht="15.75" x14ac:dyDescent="0.25">
      <c r="A144" s="55"/>
      <c r="B144" s="55"/>
      <c r="C144" s="55"/>
      <c r="D144" s="55"/>
      <c r="E144" s="55"/>
      <c r="F144" s="55"/>
      <c r="G144" s="55"/>
      <c r="H144" s="55"/>
      <c r="I144" s="55"/>
    </row>
    <row r="145" spans="1:9" ht="15.75" x14ac:dyDescent="0.25">
      <c r="A145" s="55"/>
      <c r="B145" s="55"/>
      <c r="C145" s="55"/>
      <c r="D145" s="55"/>
      <c r="E145" s="55"/>
      <c r="F145" s="55"/>
      <c r="G145" s="55"/>
      <c r="H145" s="55"/>
      <c r="I145" s="55"/>
    </row>
    <row r="146" spans="1:9" ht="15.75" x14ac:dyDescent="0.25">
      <c r="A146" s="55"/>
      <c r="B146" s="55"/>
      <c r="C146" s="55"/>
      <c r="D146" s="55"/>
      <c r="E146" s="55"/>
      <c r="F146" s="55"/>
      <c r="G146" s="55"/>
      <c r="H146" s="55"/>
      <c r="I146" s="55"/>
    </row>
    <row r="147" spans="1:9" ht="15.75" x14ac:dyDescent="0.25">
      <c r="A147" s="55"/>
      <c r="B147" s="55"/>
      <c r="C147" s="55"/>
      <c r="D147" s="55"/>
      <c r="E147" s="55"/>
      <c r="F147" s="55"/>
      <c r="G147" s="55"/>
      <c r="H147" s="55"/>
      <c r="I147" s="55"/>
    </row>
    <row r="148" spans="1:9" ht="15.75" x14ac:dyDescent="0.25">
      <c r="A148" s="55"/>
      <c r="B148" s="55"/>
      <c r="C148" s="55"/>
      <c r="D148" s="55"/>
      <c r="E148" s="55"/>
      <c r="F148" s="55"/>
      <c r="G148" s="55"/>
      <c r="H148" s="55"/>
      <c r="I148" s="55"/>
    </row>
    <row r="149" spans="1:9" ht="15.75" x14ac:dyDescent="0.25">
      <c r="A149" s="55"/>
      <c r="B149" s="55"/>
      <c r="C149" s="55"/>
      <c r="D149" s="55"/>
      <c r="E149" s="55"/>
      <c r="F149" s="55"/>
      <c r="G149" s="55"/>
      <c r="H149" s="55"/>
      <c r="I149" s="55"/>
    </row>
    <row r="150" spans="1:9" ht="15.75" x14ac:dyDescent="0.25">
      <c r="A150" s="55"/>
      <c r="B150" s="55"/>
      <c r="C150" s="55"/>
      <c r="D150" s="55"/>
      <c r="E150" s="55"/>
      <c r="F150" s="55"/>
      <c r="G150" s="55"/>
      <c r="H150" s="55"/>
      <c r="I150" s="55"/>
    </row>
    <row r="151" spans="1:9" ht="15.75" x14ac:dyDescent="0.25">
      <c r="A151" s="55"/>
      <c r="B151" s="55"/>
      <c r="C151" s="55"/>
      <c r="D151" s="55"/>
      <c r="E151" s="55"/>
      <c r="F151" s="55"/>
      <c r="G151" s="55"/>
      <c r="H151" s="55"/>
      <c r="I151" s="55"/>
    </row>
    <row r="152" spans="1:9" ht="15.75" x14ac:dyDescent="0.25">
      <c r="A152" s="55"/>
      <c r="B152" s="55"/>
      <c r="C152" s="55"/>
      <c r="D152" s="55"/>
      <c r="E152" s="55"/>
      <c r="F152" s="55"/>
      <c r="G152" s="55"/>
      <c r="H152" s="55"/>
      <c r="I152" s="55"/>
    </row>
    <row r="153" spans="1:9" ht="15.75" x14ac:dyDescent="0.25">
      <c r="A153" s="55"/>
      <c r="B153" s="55"/>
      <c r="C153" s="55"/>
      <c r="D153" s="55"/>
      <c r="E153" s="55"/>
      <c r="F153" s="55"/>
      <c r="G153" s="55"/>
      <c r="H153" s="55"/>
      <c r="I153" s="55"/>
    </row>
    <row r="154" spans="1:9" ht="15.75" x14ac:dyDescent="0.25">
      <c r="A154" s="55"/>
      <c r="B154" s="55"/>
      <c r="C154" s="55"/>
      <c r="D154" s="55"/>
      <c r="E154" s="55"/>
      <c r="F154" s="55"/>
      <c r="G154" s="55"/>
      <c r="H154" s="55"/>
      <c r="I154" s="55"/>
    </row>
    <row r="155" spans="1:9" ht="15.75" x14ac:dyDescent="0.25">
      <c r="A155" s="55"/>
      <c r="B155" s="55"/>
      <c r="C155" s="55"/>
      <c r="D155" s="55"/>
      <c r="E155" s="55"/>
      <c r="F155" s="55"/>
      <c r="G155" s="55"/>
      <c r="H155" s="55"/>
      <c r="I155" s="55"/>
    </row>
    <row r="156" spans="1:9" ht="15.75" x14ac:dyDescent="0.25">
      <c r="A156" s="55"/>
      <c r="B156" s="55"/>
      <c r="C156" s="55"/>
      <c r="D156" s="55"/>
      <c r="E156" s="55"/>
      <c r="F156" s="55"/>
      <c r="G156" s="55"/>
      <c r="H156" s="55"/>
      <c r="I156" s="55"/>
    </row>
    <row r="157" spans="1:9" ht="15.75" x14ac:dyDescent="0.25">
      <c r="A157" s="55"/>
      <c r="B157" s="55"/>
      <c r="C157" s="55"/>
      <c r="D157" s="55"/>
      <c r="E157" s="55"/>
      <c r="F157" s="55"/>
      <c r="G157" s="55"/>
      <c r="H157" s="55"/>
      <c r="I157" s="55"/>
    </row>
    <row r="158" spans="1:9" ht="15.75" x14ac:dyDescent="0.25">
      <c r="A158" s="55"/>
      <c r="B158" s="55"/>
      <c r="C158" s="55"/>
      <c r="D158" s="55"/>
      <c r="E158" s="55"/>
      <c r="F158" s="55"/>
      <c r="G158" s="55"/>
      <c r="H158" s="55"/>
      <c r="I158" s="55"/>
    </row>
    <row r="159" spans="1:9" ht="15.75" x14ac:dyDescent="0.25">
      <c r="A159" s="55"/>
      <c r="B159" s="55"/>
      <c r="C159" s="55"/>
      <c r="D159" s="55"/>
      <c r="E159" s="55"/>
      <c r="F159" s="55"/>
      <c r="G159" s="55"/>
      <c r="H159" s="55"/>
      <c r="I159" s="55"/>
    </row>
    <row r="160" spans="1:9" ht="15.75" x14ac:dyDescent="0.25">
      <c r="A160" s="55"/>
      <c r="B160" s="55"/>
      <c r="C160" s="55"/>
      <c r="D160" s="55"/>
      <c r="E160" s="55"/>
      <c r="F160" s="55"/>
      <c r="G160" s="55"/>
      <c r="H160" s="55"/>
      <c r="I160" s="55"/>
    </row>
    <row r="161" spans="1:9" ht="15.75" x14ac:dyDescent="0.25">
      <c r="A161" s="55"/>
      <c r="B161" s="55"/>
      <c r="C161" s="55"/>
      <c r="D161" s="55"/>
      <c r="E161" s="55"/>
      <c r="F161" s="55"/>
      <c r="G161" s="55"/>
      <c r="H161" s="55"/>
      <c r="I161" s="55"/>
    </row>
    <row r="162" spans="1:9" ht="15.75" x14ac:dyDescent="0.25">
      <c r="A162" s="55"/>
      <c r="B162" s="55"/>
      <c r="C162" s="55"/>
      <c r="D162" s="55"/>
      <c r="E162" s="55"/>
      <c r="F162" s="55"/>
      <c r="G162" s="55"/>
      <c r="H162" s="55"/>
      <c r="I162" s="55"/>
    </row>
    <row r="163" spans="1:9" ht="15.75" x14ac:dyDescent="0.25">
      <c r="A163" s="55"/>
      <c r="B163" s="55"/>
      <c r="C163" s="55"/>
      <c r="D163" s="55"/>
      <c r="E163" s="55"/>
      <c r="F163" s="55"/>
      <c r="G163" s="55"/>
      <c r="H163" s="55"/>
      <c r="I163" s="55"/>
    </row>
    <row r="164" spans="1:9" ht="15.75" x14ac:dyDescent="0.25">
      <c r="A164" s="55"/>
      <c r="B164" s="55"/>
      <c r="C164" s="55"/>
      <c r="D164" s="55"/>
      <c r="E164" s="55"/>
      <c r="F164" s="55"/>
      <c r="G164" s="55"/>
      <c r="H164" s="55"/>
      <c r="I164" s="55"/>
    </row>
    <row r="165" spans="1:9" ht="15.75" x14ac:dyDescent="0.25">
      <c r="A165" s="55"/>
      <c r="B165" s="55"/>
      <c r="C165" s="55"/>
      <c r="D165" s="55"/>
      <c r="E165" s="55"/>
      <c r="F165" s="55"/>
      <c r="G165" s="55"/>
      <c r="H165" s="55"/>
      <c r="I165" s="55"/>
    </row>
    <row r="166" spans="1:9" ht="15.75" x14ac:dyDescent="0.25">
      <c r="A166" s="55"/>
      <c r="B166" s="55"/>
      <c r="C166" s="55"/>
      <c r="D166" s="55"/>
      <c r="E166" s="55"/>
      <c r="F166" s="55"/>
      <c r="G166" s="55"/>
      <c r="H166" s="55"/>
      <c r="I166" s="55"/>
    </row>
    <row r="167" spans="1:9" ht="15.75" x14ac:dyDescent="0.25">
      <c r="A167" s="55"/>
      <c r="B167" s="55"/>
      <c r="C167" s="55"/>
      <c r="D167" s="55"/>
      <c r="E167" s="55"/>
      <c r="F167" s="55"/>
      <c r="G167" s="55"/>
      <c r="H167" s="55"/>
      <c r="I167" s="55"/>
    </row>
    <row r="168" spans="1:9" ht="15.75" x14ac:dyDescent="0.25">
      <c r="A168" s="55"/>
      <c r="B168" s="55"/>
      <c r="C168" s="55"/>
      <c r="D168" s="55"/>
      <c r="E168" s="55"/>
      <c r="F168" s="55"/>
      <c r="G168" s="55"/>
      <c r="H168" s="55"/>
      <c r="I168" s="55"/>
    </row>
    <row r="169" spans="1:9" ht="15.75" x14ac:dyDescent="0.25">
      <c r="A169" s="55"/>
      <c r="B169" s="55"/>
      <c r="C169" s="55"/>
      <c r="D169" s="55"/>
      <c r="E169" s="55"/>
      <c r="F169" s="55"/>
      <c r="G169" s="55"/>
      <c r="H169" s="55"/>
      <c r="I169" s="55"/>
    </row>
    <row r="170" spans="1:9" ht="15.75" x14ac:dyDescent="0.25">
      <c r="A170" s="55"/>
      <c r="B170" s="55"/>
      <c r="C170" s="55"/>
      <c r="D170" s="55"/>
      <c r="E170" s="55"/>
      <c r="F170" s="55"/>
      <c r="G170" s="55"/>
      <c r="H170" s="55"/>
      <c r="I170" s="55"/>
    </row>
    <row r="171" spans="1:9" ht="15.75" x14ac:dyDescent="0.25">
      <c r="A171" s="55"/>
      <c r="B171" s="55"/>
      <c r="C171" s="55"/>
      <c r="D171" s="55"/>
      <c r="E171" s="55"/>
      <c r="F171" s="55"/>
      <c r="G171" s="55"/>
      <c r="H171" s="55"/>
      <c r="I171" s="55"/>
    </row>
    <row r="172" spans="1:9" ht="15.75" x14ac:dyDescent="0.25">
      <c r="A172" s="55"/>
      <c r="B172" s="55"/>
      <c r="C172" s="55"/>
      <c r="D172" s="55"/>
      <c r="E172" s="55"/>
      <c r="F172" s="55"/>
      <c r="G172" s="55"/>
      <c r="H172" s="55"/>
      <c r="I172" s="55"/>
    </row>
    <row r="173" spans="1:9" ht="15.75" x14ac:dyDescent="0.25">
      <c r="A173" s="55"/>
      <c r="B173" s="55"/>
      <c r="C173" s="55"/>
      <c r="D173" s="55"/>
      <c r="E173" s="55"/>
      <c r="F173" s="55"/>
      <c r="G173" s="55"/>
      <c r="H173" s="55"/>
      <c r="I173" s="55"/>
    </row>
    <row r="174" spans="1:9" ht="15.75" x14ac:dyDescent="0.25">
      <c r="A174" s="55"/>
      <c r="B174" s="55"/>
      <c r="C174" s="55"/>
      <c r="D174" s="55"/>
      <c r="E174" s="55"/>
      <c r="F174" s="55"/>
      <c r="G174" s="55"/>
      <c r="H174" s="55"/>
      <c r="I174" s="55"/>
    </row>
    <row r="175" spans="1:9" ht="15.75" x14ac:dyDescent="0.25">
      <c r="A175" s="55"/>
      <c r="B175" s="55"/>
      <c r="C175" s="55"/>
      <c r="D175" s="55"/>
      <c r="E175" s="55"/>
      <c r="F175" s="55"/>
      <c r="G175" s="55"/>
      <c r="H175" s="55"/>
      <c r="I175" s="55"/>
    </row>
    <row r="176" spans="1:9" ht="15.75" x14ac:dyDescent="0.25">
      <c r="A176" s="55"/>
      <c r="B176" s="55"/>
      <c r="C176" s="55"/>
      <c r="D176" s="55"/>
      <c r="E176" s="55"/>
      <c r="F176" s="55"/>
      <c r="G176" s="55"/>
      <c r="H176" s="55"/>
      <c r="I176" s="55"/>
    </row>
    <row r="177" spans="1:9" ht="15.75" x14ac:dyDescent="0.25">
      <c r="A177" s="55"/>
      <c r="B177" s="55"/>
      <c r="C177" s="55"/>
      <c r="D177" s="55"/>
      <c r="E177" s="55"/>
      <c r="F177" s="55"/>
      <c r="G177" s="55"/>
      <c r="H177" s="55"/>
      <c r="I177" s="55"/>
    </row>
    <row r="178" spans="1:9" ht="15.75" x14ac:dyDescent="0.25">
      <c r="A178" s="55"/>
      <c r="B178" s="55"/>
      <c r="C178" s="55"/>
      <c r="D178" s="55"/>
      <c r="E178" s="55"/>
      <c r="F178" s="55"/>
      <c r="G178" s="55"/>
      <c r="H178" s="55"/>
      <c r="I178" s="55"/>
    </row>
    <row r="179" spans="1:9" ht="15.75" x14ac:dyDescent="0.25">
      <c r="A179" s="55"/>
      <c r="B179" s="55"/>
      <c r="C179" s="55"/>
      <c r="D179" s="55"/>
      <c r="E179" s="55"/>
      <c r="F179" s="55"/>
      <c r="G179" s="55"/>
      <c r="H179" s="55"/>
      <c r="I179" s="55"/>
    </row>
    <row r="180" spans="1:9" ht="15.75" x14ac:dyDescent="0.25">
      <c r="A180" s="55"/>
      <c r="B180" s="55"/>
      <c r="C180" s="55"/>
      <c r="D180" s="55"/>
      <c r="E180" s="55"/>
      <c r="F180" s="55"/>
      <c r="G180" s="55"/>
      <c r="H180" s="55"/>
      <c r="I180" s="55"/>
    </row>
    <row r="181" spans="1:9" ht="15.75" x14ac:dyDescent="0.25">
      <c r="A181" s="55"/>
      <c r="B181" s="55"/>
      <c r="C181" s="55"/>
      <c r="D181" s="55"/>
      <c r="E181" s="55"/>
      <c r="F181" s="55"/>
      <c r="G181" s="55"/>
      <c r="H181" s="55"/>
      <c r="I181" s="55"/>
    </row>
    <row r="182" spans="1:9" ht="15.75" x14ac:dyDescent="0.25">
      <c r="A182" s="55"/>
      <c r="B182" s="55"/>
      <c r="C182" s="55"/>
      <c r="D182" s="55"/>
      <c r="E182" s="55"/>
      <c r="F182" s="55"/>
      <c r="G182" s="55"/>
      <c r="H182" s="55"/>
      <c r="I182" s="55"/>
    </row>
    <row r="183" spans="1:9" ht="15.75" x14ac:dyDescent="0.25">
      <c r="A183" s="55"/>
      <c r="B183" s="55"/>
      <c r="C183" s="55"/>
      <c r="D183" s="55"/>
      <c r="E183" s="55"/>
      <c r="F183" s="55"/>
      <c r="G183" s="55"/>
      <c r="H183" s="55"/>
      <c r="I183" s="55"/>
    </row>
    <row r="184" spans="1:9" ht="15.75" x14ac:dyDescent="0.25">
      <c r="A184" s="55"/>
      <c r="B184" s="55"/>
      <c r="C184" s="55"/>
      <c r="D184" s="55"/>
      <c r="E184" s="55"/>
      <c r="F184" s="55"/>
      <c r="G184" s="55"/>
      <c r="H184" s="55"/>
      <c r="I184" s="55"/>
    </row>
    <row r="185" spans="1:9" ht="15.75" x14ac:dyDescent="0.25">
      <c r="A185" s="55"/>
      <c r="B185" s="55"/>
      <c r="C185" s="55"/>
      <c r="D185" s="55"/>
      <c r="E185" s="55"/>
      <c r="F185" s="55"/>
      <c r="G185" s="55"/>
      <c r="H185" s="55"/>
      <c r="I185" s="55"/>
    </row>
    <row r="186" spans="1:9" ht="15.75" x14ac:dyDescent="0.25">
      <c r="A186" s="55"/>
      <c r="B186" s="55"/>
      <c r="C186" s="55"/>
      <c r="D186" s="55"/>
      <c r="E186" s="55"/>
      <c r="F186" s="55"/>
      <c r="G186" s="55"/>
      <c r="H186" s="55"/>
      <c r="I186" s="55"/>
    </row>
    <row r="187" spans="1:9" ht="15.75" x14ac:dyDescent="0.25">
      <c r="A187" s="55"/>
      <c r="B187" s="55"/>
      <c r="C187" s="55"/>
      <c r="D187" s="55"/>
      <c r="E187" s="55"/>
      <c r="F187" s="55"/>
      <c r="G187" s="55"/>
      <c r="H187" s="55"/>
      <c r="I187" s="55"/>
    </row>
    <row r="188" spans="1:9" ht="15.75" x14ac:dyDescent="0.25">
      <c r="A188" s="55"/>
      <c r="B188" s="55"/>
      <c r="C188" s="55"/>
      <c r="D188" s="55"/>
      <c r="E188" s="55"/>
      <c r="F188" s="55"/>
      <c r="G188" s="55"/>
      <c r="H188" s="55"/>
      <c r="I188" s="55"/>
    </row>
    <row r="189" spans="1:9" ht="15.75" x14ac:dyDescent="0.25">
      <c r="A189" s="55"/>
      <c r="B189" s="55"/>
      <c r="C189" s="55"/>
      <c r="D189" s="55"/>
      <c r="E189" s="55"/>
      <c r="F189" s="55"/>
      <c r="G189" s="55"/>
      <c r="H189" s="55"/>
      <c r="I189" s="55"/>
    </row>
    <row r="190" spans="1:9" ht="15.75" x14ac:dyDescent="0.25">
      <c r="A190" s="55"/>
      <c r="B190" s="55"/>
      <c r="C190" s="55"/>
      <c r="D190" s="55"/>
      <c r="E190" s="55"/>
      <c r="F190" s="55"/>
      <c r="G190" s="55"/>
      <c r="H190" s="55"/>
      <c r="I190" s="55"/>
    </row>
    <row r="191" spans="1:9" ht="15.75" x14ac:dyDescent="0.25">
      <c r="A191" s="55"/>
      <c r="B191" s="55"/>
      <c r="C191" s="55"/>
      <c r="D191" s="55"/>
      <c r="E191" s="55"/>
      <c r="F191" s="55"/>
      <c r="G191" s="55"/>
      <c r="H191" s="55"/>
      <c r="I191" s="55"/>
    </row>
    <row r="192" spans="1:9" ht="15.75" x14ac:dyDescent="0.25">
      <c r="A192" s="55"/>
      <c r="B192" s="55"/>
      <c r="C192" s="55"/>
      <c r="D192" s="55"/>
      <c r="E192" s="55"/>
      <c r="F192" s="55"/>
      <c r="G192" s="55"/>
      <c r="H192" s="55"/>
      <c r="I192" s="55"/>
    </row>
    <row r="193" spans="1:9" ht="15.75" x14ac:dyDescent="0.25">
      <c r="A193" s="55"/>
      <c r="B193" s="55"/>
      <c r="C193" s="55"/>
      <c r="D193" s="55"/>
      <c r="E193" s="55"/>
      <c r="F193" s="55"/>
      <c r="G193" s="55"/>
      <c r="H193" s="55"/>
      <c r="I193" s="55"/>
    </row>
    <row r="194" spans="1:9" ht="15.75" x14ac:dyDescent="0.25">
      <c r="A194" s="55"/>
      <c r="B194" s="55"/>
      <c r="C194" s="55"/>
      <c r="D194" s="55"/>
      <c r="E194" s="55"/>
      <c r="F194" s="55"/>
      <c r="G194" s="55"/>
      <c r="H194" s="55"/>
      <c r="I194" s="55"/>
    </row>
    <row r="195" spans="1:9" ht="15.75" x14ac:dyDescent="0.25">
      <c r="A195" s="55"/>
      <c r="B195" s="55"/>
      <c r="C195" s="55"/>
      <c r="D195" s="55"/>
      <c r="E195" s="55"/>
      <c r="F195" s="55"/>
      <c r="G195" s="55"/>
      <c r="H195" s="55"/>
      <c r="I195" s="55"/>
    </row>
    <row r="196" spans="1:9" ht="15.75" x14ac:dyDescent="0.25">
      <c r="A196" s="55"/>
      <c r="B196" s="55"/>
      <c r="C196" s="55"/>
      <c r="D196" s="55"/>
      <c r="E196" s="55"/>
      <c r="F196" s="55"/>
      <c r="G196" s="55"/>
      <c r="H196" s="55"/>
      <c r="I196" s="55"/>
    </row>
    <row r="197" spans="1:9" ht="15.75" x14ac:dyDescent="0.25">
      <c r="A197" s="55"/>
      <c r="B197" s="55"/>
      <c r="C197" s="55"/>
      <c r="D197" s="55"/>
      <c r="E197" s="55"/>
      <c r="F197" s="55"/>
      <c r="G197" s="55"/>
      <c r="H197" s="55"/>
      <c r="I197" s="55"/>
    </row>
    <row r="198" spans="1:9" ht="15.75" x14ac:dyDescent="0.25">
      <c r="A198" s="55"/>
      <c r="B198" s="55"/>
      <c r="C198" s="55"/>
      <c r="D198" s="55"/>
      <c r="E198" s="55"/>
      <c r="F198" s="55"/>
      <c r="G198" s="55"/>
      <c r="H198" s="55"/>
      <c r="I198" s="55"/>
    </row>
    <row r="199" spans="1:9" ht="15.75" x14ac:dyDescent="0.25">
      <c r="A199" s="55"/>
      <c r="B199" s="55"/>
      <c r="C199" s="55"/>
      <c r="D199" s="55"/>
      <c r="E199" s="55"/>
      <c r="F199" s="55"/>
      <c r="G199" s="55"/>
      <c r="H199" s="55"/>
      <c r="I199" s="55"/>
    </row>
    <row r="200" spans="1:9" ht="15.75" x14ac:dyDescent="0.25">
      <c r="A200" s="55"/>
      <c r="B200" s="55"/>
      <c r="C200" s="55"/>
      <c r="D200" s="55"/>
      <c r="E200" s="55"/>
      <c r="F200" s="55"/>
      <c r="G200" s="55"/>
      <c r="H200" s="55"/>
      <c r="I200" s="55"/>
    </row>
    <row r="201" spans="1:9" ht="15.75" x14ac:dyDescent="0.25">
      <c r="A201" s="55"/>
      <c r="B201" s="55"/>
      <c r="C201" s="55"/>
      <c r="D201" s="55"/>
      <c r="E201" s="55"/>
      <c r="F201" s="55"/>
      <c r="G201" s="55"/>
      <c r="H201" s="55"/>
      <c r="I201" s="55"/>
    </row>
    <row r="202" spans="1:9" ht="15.75" x14ac:dyDescent="0.25">
      <c r="A202" s="55"/>
      <c r="B202" s="55"/>
      <c r="C202" s="55"/>
      <c r="D202" s="55"/>
      <c r="E202" s="55"/>
      <c r="F202" s="55"/>
      <c r="G202" s="55"/>
      <c r="H202" s="55"/>
      <c r="I202" s="55"/>
    </row>
    <row r="203" spans="1:9" ht="15.75" x14ac:dyDescent="0.25">
      <c r="A203" s="55"/>
      <c r="B203" s="55"/>
      <c r="C203" s="55"/>
      <c r="D203" s="55"/>
      <c r="E203" s="55"/>
      <c r="F203" s="55"/>
      <c r="G203" s="55"/>
      <c r="H203" s="55"/>
      <c r="I203" s="55"/>
    </row>
    <row r="204" spans="1:9" ht="15.75" x14ac:dyDescent="0.25">
      <c r="A204" s="55"/>
      <c r="B204" s="55"/>
      <c r="C204" s="55"/>
      <c r="D204" s="55"/>
      <c r="E204" s="55"/>
      <c r="F204" s="55"/>
      <c r="G204" s="55"/>
      <c r="H204" s="55"/>
      <c r="I204" s="55"/>
    </row>
    <row r="205" spans="1:9" ht="15.75" x14ac:dyDescent="0.25">
      <c r="A205" s="55"/>
      <c r="B205" s="55"/>
      <c r="C205" s="55"/>
      <c r="D205" s="55"/>
      <c r="E205" s="55"/>
      <c r="F205" s="55"/>
      <c r="G205" s="55"/>
      <c r="H205" s="55"/>
      <c r="I205" s="55"/>
    </row>
    <row r="206" spans="1:9" ht="15.75" x14ac:dyDescent="0.25">
      <c r="A206" s="55"/>
      <c r="B206" s="55"/>
      <c r="C206" s="55"/>
      <c r="D206" s="55"/>
      <c r="E206" s="55"/>
      <c r="F206" s="55"/>
      <c r="G206" s="55"/>
      <c r="H206" s="55"/>
      <c r="I206" s="55"/>
    </row>
    <row r="207" spans="1:9" ht="15.75" x14ac:dyDescent="0.25">
      <c r="A207" s="55"/>
      <c r="B207" s="55"/>
      <c r="C207" s="55"/>
      <c r="D207" s="55"/>
      <c r="E207" s="55"/>
      <c r="F207" s="55"/>
      <c r="G207" s="55"/>
      <c r="H207" s="55"/>
      <c r="I207" s="55"/>
    </row>
    <row r="208" spans="1:9" ht="15.75" x14ac:dyDescent="0.25">
      <c r="A208" s="55"/>
      <c r="B208" s="55"/>
      <c r="C208" s="55"/>
      <c r="D208" s="55"/>
      <c r="E208" s="55"/>
      <c r="F208" s="55"/>
      <c r="G208" s="55"/>
      <c r="H208" s="55"/>
      <c r="I208" s="55"/>
    </row>
    <row r="209" spans="1:9" ht="15.75" x14ac:dyDescent="0.25">
      <c r="A209" s="55"/>
      <c r="B209" s="55"/>
      <c r="C209" s="55"/>
      <c r="D209" s="55"/>
      <c r="E209" s="55"/>
      <c r="F209" s="55"/>
      <c r="G209" s="55"/>
      <c r="H209" s="55"/>
      <c r="I209" s="55"/>
    </row>
    <row r="210" spans="1:9" ht="15.75" x14ac:dyDescent="0.25">
      <c r="A210" s="55"/>
      <c r="B210" s="55"/>
      <c r="C210" s="55"/>
      <c r="D210" s="55"/>
      <c r="E210" s="55"/>
      <c r="F210" s="55"/>
      <c r="G210" s="55"/>
      <c r="H210" s="55"/>
      <c r="I210" s="55"/>
    </row>
    <row r="211" spans="1:9" ht="15.75" x14ac:dyDescent="0.25">
      <c r="A211" s="55"/>
      <c r="B211" s="55"/>
      <c r="C211" s="55"/>
      <c r="D211" s="55"/>
      <c r="E211" s="55"/>
      <c r="F211" s="55"/>
      <c r="G211" s="55"/>
      <c r="H211" s="55"/>
      <c r="I211" s="55"/>
    </row>
    <row r="212" spans="1:9" ht="15.75" x14ac:dyDescent="0.25">
      <c r="A212" s="55"/>
      <c r="B212" s="55"/>
      <c r="C212" s="55"/>
      <c r="D212" s="55"/>
      <c r="E212" s="55"/>
      <c r="F212" s="55"/>
      <c r="G212" s="55"/>
      <c r="H212" s="55"/>
      <c r="I212" s="55"/>
    </row>
    <row r="213" spans="1:9" ht="15.75" x14ac:dyDescent="0.25">
      <c r="A213" s="55"/>
      <c r="B213" s="55"/>
      <c r="C213" s="55"/>
      <c r="D213" s="55"/>
      <c r="E213" s="55"/>
      <c r="F213" s="55"/>
      <c r="G213" s="55"/>
      <c r="H213" s="55"/>
      <c r="I213" s="55"/>
    </row>
    <row r="214" spans="1:9" ht="15.75" x14ac:dyDescent="0.25">
      <c r="A214" s="55"/>
      <c r="B214" s="55"/>
      <c r="C214" s="55"/>
      <c r="D214" s="55"/>
      <c r="E214" s="55"/>
      <c r="F214" s="55"/>
      <c r="G214" s="55"/>
      <c r="H214" s="55"/>
      <c r="I214" s="55"/>
    </row>
    <row r="215" spans="1:9" ht="15.75" x14ac:dyDescent="0.25">
      <c r="A215" s="55"/>
      <c r="B215" s="55"/>
      <c r="C215" s="55"/>
      <c r="D215" s="55"/>
      <c r="E215" s="55"/>
      <c r="F215" s="55"/>
      <c r="G215" s="55"/>
      <c r="H215" s="55"/>
      <c r="I215" s="55"/>
    </row>
    <row r="216" spans="1:9" ht="15.75" x14ac:dyDescent="0.25">
      <c r="A216" s="55"/>
      <c r="B216" s="55"/>
      <c r="C216" s="55"/>
      <c r="D216" s="55"/>
      <c r="E216" s="55"/>
      <c r="F216" s="55"/>
      <c r="G216" s="55"/>
      <c r="H216" s="55"/>
      <c r="I216" s="55"/>
    </row>
    <row r="217" spans="1:9" ht="15.75" x14ac:dyDescent="0.25">
      <c r="A217" s="55"/>
      <c r="B217" s="55"/>
      <c r="C217" s="55"/>
      <c r="D217" s="55"/>
      <c r="E217" s="55"/>
      <c r="F217" s="55"/>
      <c r="G217" s="55"/>
      <c r="H217" s="55"/>
      <c r="I217" s="55"/>
    </row>
    <row r="218" spans="1:9" ht="15.75" x14ac:dyDescent="0.25">
      <c r="A218" s="55"/>
      <c r="B218" s="55"/>
      <c r="C218" s="55"/>
      <c r="D218" s="55"/>
      <c r="E218" s="55"/>
      <c r="F218" s="55"/>
      <c r="G218" s="55"/>
      <c r="H218" s="55"/>
      <c r="I218" s="55"/>
    </row>
    <row r="219" spans="1:9" ht="15.75" x14ac:dyDescent="0.25">
      <c r="A219" s="55"/>
      <c r="B219" s="55"/>
      <c r="C219" s="55"/>
      <c r="D219" s="55"/>
      <c r="E219" s="55"/>
      <c r="F219" s="55"/>
      <c r="G219" s="55"/>
      <c r="H219" s="55"/>
      <c r="I219" s="55"/>
    </row>
    <row r="220" spans="1:9" ht="15.75" x14ac:dyDescent="0.25">
      <c r="A220" s="55"/>
      <c r="B220" s="55"/>
      <c r="C220" s="55"/>
      <c r="D220" s="55"/>
      <c r="E220" s="55"/>
      <c r="F220" s="55"/>
      <c r="G220" s="55"/>
      <c r="H220" s="55"/>
      <c r="I220" s="55"/>
    </row>
    <row r="221" spans="1:9" ht="15.75" x14ac:dyDescent="0.25">
      <c r="A221" s="55"/>
      <c r="B221" s="55"/>
      <c r="C221" s="55"/>
      <c r="D221" s="55"/>
      <c r="E221" s="55"/>
      <c r="F221" s="55"/>
      <c r="G221" s="55"/>
      <c r="H221" s="55"/>
      <c r="I221" s="55"/>
    </row>
    <row r="222" spans="1:9" ht="15.75" x14ac:dyDescent="0.25">
      <c r="A222" s="55"/>
      <c r="B222" s="55"/>
      <c r="C222" s="55"/>
      <c r="D222" s="55"/>
      <c r="E222" s="55"/>
      <c r="F222" s="55"/>
      <c r="G222" s="55"/>
      <c r="H222" s="55"/>
      <c r="I222" s="55"/>
    </row>
    <row r="223" spans="1:9" ht="15.75" x14ac:dyDescent="0.25">
      <c r="A223" s="55"/>
      <c r="B223" s="55"/>
      <c r="C223" s="55"/>
      <c r="D223" s="55"/>
      <c r="E223" s="55"/>
      <c r="F223" s="55"/>
      <c r="G223" s="55"/>
      <c r="H223" s="55"/>
      <c r="I223" s="55"/>
    </row>
    <row r="224" spans="1:9" ht="15.75" x14ac:dyDescent="0.25">
      <c r="A224" s="55"/>
      <c r="B224" s="55"/>
      <c r="C224" s="55"/>
      <c r="D224" s="55"/>
      <c r="E224" s="55"/>
      <c r="F224" s="55"/>
      <c r="G224" s="55"/>
      <c r="H224" s="55"/>
      <c r="I224" s="55"/>
    </row>
    <row r="225" spans="1:9" ht="15.75" x14ac:dyDescent="0.25">
      <c r="A225" s="55"/>
      <c r="B225" s="55"/>
      <c r="C225" s="55"/>
      <c r="D225" s="55"/>
      <c r="E225" s="55"/>
      <c r="F225" s="55"/>
      <c r="G225" s="55"/>
      <c r="H225" s="55"/>
      <c r="I225" s="55"/>
    </row>
    <row r="226" spans="1:9" ht="15.75" x14ac:dyDescent="0.25">
      <c r="A226" s="55"/>
      <c r="B226" s="55"/>
      <c r="C226" s="55"/>
      <c r="D226" s="55"/>
      <c r="E226" s="55"/>
      <c r="F226" s="55"/>
      <c r="G226" s="55"/>
      <c r="H226" s="55"/>
      <c r="I226" s="55"/>
    </row>
    <row r="227" spans="1:9" ht="15.75" x14ac:dyDescent="0.25">
      <c r="A227" s="55"/>
      <c r="B227" s="55"/>
      <c r="C227" s="55"/>
      <c r="D227" s="55"/>
      <c r="E227" s="55"/>
      <c r="F227" s="55"/>
      <c r="G227" s="55"/>
      <c r="H227" s="55"/>
      <c r="I227" s="55"/>
    </row>
    <row r="228" spans="1:9" ht="15.75" x14ac:dyDescent="0.25">
      <c r="A228" s="55"/>
      <c r="B228" s="55"/>
      <c r="C228" s="55"/>
      <c r="D228" s="55"/>
      <c r="E228" s="55"/>
      <c r="F228" s="55"/>
      <c r="G228" s="55"/>
      <c r="H228" s="55"/>
      <c r="I228" s="55"/>
    </row>
    <row r="229" spans="1:9" ht="15.75" x14ac:dyDescent="0.25">
      <c r="A229" s="55"/>
      <c r="B229" s="55"/>
      <c r="C229" s="55"/>
      <c r="D229" s="55"/>
      <c r="E229" s="55"/>
      <c r="F229" s="55"/>
      <c r="G229" s="55"/>
      <c r="H229" s="55"/>
      <c r="I229" s="55"/>
    </row>
    <row r="230" spans="1:9" ht="15.75" x14ac:dyDescent="0.25">
      <c r="A230" s="55"/>
      <c r="B230" s="55"/>
      <c r="C230" s="55"/>
      <c r="D230" s="55"/>
      <c r="E230" s="55"/>
      <c r="F230" s="55"/>
      <c r="G230" s="55"/>
      <c r="H230" s="55"/>
      <c r="I230" s="55"/>
    </row>
    <row r="231" spans="1:9" ht="15.75" x14ac:dyDescent="0.25">
      <c r="A231" s="55"/>
      <c r="B231" s="55"/>
      <c r="C231" s="55"/>
      <c r="D231" s="55"/>
      <c r="E231" s="55"/>
      <c r="F231" s="55"/>
      <c r="G231" s="55"/>
      <c r="H231" s="55"/>
      <c r="I231" s="55"/>
    </row>
    <row r="232" spans="1:9" ht="15.75" x14ac:dyDescent="0.25">
      <c r="A232" s="55"/>
      <c r="B232" s="55"/>
      <c r="C232" s="55"/>
      <c r="D232" s="55"/>
      <c r="E232" s="55"/>
      <c r="F232" s="55"/>
      <c r="G232" s="55"/>
      <c r="H232" s="55"/>
      <c r="I232" s="55"/>
    </row>
    <row r="233" spans="1:9" ht="15.75" x14ac:dyDescent="0.25">
      <c r="A233" s="55"/>
      <c r="B233" s="55"/>
      <c r="C233" s="55"/>
      <c r="D233" s="55"/>
      <c r="E233" s="55"/>
      <c r="F233" s="55"/>
      <c r="G233" s="55"/>
      <c r="H233" s="55"/>
      <c r="I233" s="55"/>
    </row>
    <row r="234" spans="1:9" ht="15.75" x14ac:dyDescent="0.25">
      <c r="A234" s="55"/>
      <c r="B234" s="55"/>
      <c r="C234" s="55"/>
      <c r="D234" s="55"/>
      <c r="E234" s="55"/>
      <c r="F234" s="55"/>
      <c r="G234" s="55"/>
      <c r="H234" s="55"/>
      <c r="I234" s="55"/>
    </row>
    <row r="235" spans="1:9" ht="15.75" x14ac:dyDescent="0.25">
      <c r="A235" s="55"/>
      <c r="B235" s="55"/>
      <c r="C235" s="55"/>
      <c r="D235" s="55"/>
      <c r="E235" s="55"/>
      <c r="F235" s="55"/>
      <c r="G235" s="55"/>
      <c r="H235" s="55"/>
      <c r="I235" s="55"/>
    </row>
    <row r="236" spans="1:9" ht="15.75" x14ac:dyDescent="0.25">
      <c r="A236" s="55"/>
      <c r="B236" s="55"/>
      <c r="C236" s="55"/>
      <c r="D236" s="55"/>
      <c r="E236" s="55"/>
      <c r="F236" s="55"/>
      <c r="G236" s="55"/>
      <c r="H236" s="55"/>
      <c r="I236" s="55"/>
    </row>
    <row r="237" spans="1:9" ht="15.75" x14ac:dyDescent="0.25">
      <c r="A237" s="55"/>
      <c r="B237" s="55"/>
      <c r="C237" s="55"/>
      <c r="D237" s="55"/>
      <c r="E237" s="55"/>
      <c r="F237" s="55"/>
      <c r="G237" s="55"/>
      <c r="H237" s="55"/>
      <c r="I237" s="55"/>
    </row>
    <row r="238" spans="1:9" ht="15.75" x14ac:dyDescent="0.25">
      <c r="A238" s="55"/>
      <c r="B238" s="55"/>
      <c r="C238" s="55"/>
      <c r="D238" s="55"/>
      <c r="E238" s="55"/>
      <c r="F238" s="55"/>
      <c r="G238" s="55"/>
      <c r="H238" s="55"/>
      <c r="I238" s="55"/>
    </row>
    <row r="239" spans="1:9" ht="15.75" x14ac:dyDescent="0.25">
      <c r="A239" s="55"/>
      <c r="B239" s="55"/>
      <c r="C239" s="55"/>
      <c r="D239" s="55"/>
      <c r="E239" s="55"/>
      <c r="F239" s="55"/>
      <c r="G239" s="55"/>
      <c r="H239" s="55"/>
      <c r="I239" s="55"/>
    </row>
    <row r="240" spans="1:9" ht="15.75" x14ac:dyDescent="0.25">
      <c r="A240" s="55"/>
      <c r="B240" s="55"/>
      <c r="C240" s="55"/>
      <c r="D240" s="55"/>
      <c r="E240" s="55"/>
      <c r="F240" s="55"/>
      <c r="G240" s="55"/>
      <c r="H240" s="55"/>
      <c r="I240" s="55"/>
    </row>
    <row r="241" spans="1:9" ht="15.75" x14ac:dyDescent="0.25">
      <c r="A241" s="55"/>
      <c r="B241" s="55"/>
      <c r="C241" s="55"/>
      <c r="D241" s="55"/>
      <c r="E241" s="55"/>
      <c r="F241" s="55"/>
      <c r="G241" s="55"/>
      <c r="H241" s="55"/>
      <c r="I241" s="55"/>
    </row>
    <row r="242" spans="1:9" ht="15.75" x14ac:dyDescent="0.25">
      <c r="A242" s="55"/>
      <c r="B242" s="55"/>
      <c r="C242" s="55"/>
      <c r="D242" s="55"/>
      <c r="E242" s="55"/>
      <c r="F242" s="55"/>
      <c r="G242" s="55"/>
      <c r="H242" s="55"/>
      <c r="I242" s="55"/>
    </row>
    <row r="243" spans="1:9" ht="15.75" x14ac:dyDescent="0.25">
      <c r="A243" s="55"/>
      <c r="B243" s="55"/>
      <c r="C243" s="55"/>
      <c r="D243" s="55"/>
      <c r="E243" s="55"/>
      <c r="F243" s="55"/>
      <c r="G243" s="55"/>
      <c r="H243" s="55"/>
      <c r="I243" s="55"/>
    </row>
    <row r="244" spans="1:9" ht="15.75" x14ac:dyDescent="0.25">
      <c r="A244" s="55"/>
      <c r="B244" s="55"/>
      <c r="C244" s="55"/>
      <c r="D244" s="55"/>
      <c r="E244" s="55"/>
      <c r="F244" s="55"/>
      <c r="G244" s="55"/>
      <c r="H244" s="55"/>
      <c r="I244" s="55"/>
    </row>
    <row r="245" spans="1:9" ht="15.75" x14ac:dyDescent="0.25">
      <c r="A245" s="55"/>
      <c r="B245" s="55"/>
      <c r="C245" s="55"/>
      <c r="D245" s="55"/>
      <c r="E245" s="55"/>
      <c r="F245" s="55"/>
      <c r="G245" s="55"/>
      <c r="H245" s="55"/>
      <c r="I245" s="55"/>
    </row>
    <row r="246" spans="1:9" ht="15.75" x14ac:dyDescent="0.25">
      <c r="A246" s="55"/>
      <c r="B246" s="55"/>
      <c r="C246" s="55"/>
      <c r="D246" s="55"/>
      <c r="E246" s="55"/>
      <c r="F246" s="55"/>
      <c r="G246" s="55"/>
      <c r="H246" s="55"/>
      <c r="I246" s="55"/>
    </row>
    <row r="247" spans="1:9" ht="15.75" x14ac:dyDescent="0.25">
      <c r="A247" s="55"/>
      <c r="B247" s="55"/>
      <c r="C247" s="55"/>
      <c r="D247" s="55"/>
      <c r="E247" s="55"/>
      <c r="F247" s="55"/>
      <c r="G247" s="55"/>
      <c r="H247" s="55"/>
      <c r="I247" s="55"/>
    </row>
    <row r="248" spans="1:9" ht="15.75" x14ac:dyDescent="0.25">
      <c r="A248" s="55"/>
      <c r="B248" s="55"/>
      <c r="C248" s="55"/>
      <c r="D248" s="55"/>
      <c r="E248" s="55"/>
      <c r="F248" s="55"/>
      <c r="G248" s="55"/>
      <c r="H248" s="55"/>
      <c r="I248" s="55"/>
    </row>
    <row r="249" spans="1:9" ht="15.75" x14ac:dyDescent="0.25">
      <c r="A249" s="55"/>
      <c r="B249" s="55"/>
      <c r="C249" s="55"/>
      <c r="D249" s="55"/>
      <c r="E249" s="55"/>
      <c r="F249" s="55"/>
      <c r="G249" s="55"/>
      <c r="H249" s="55"/>
      <c r="I249" s="55"/>
    </row>
    <row r="250" spans="1:9" ht="15.75" x14ac:dyDescent="0.25">
      <c r="A250" s="55"/>
      <c r="B250" s="55"/>
      <c r="C250" s="55"/>
      <c r="D250" s="55"/>
      <c r="E250" s="55"/>
      <c r="F250" s="55"/>
      <c r="G250" s="55"/>
      <c r="H250" s="55"/>
      <c r="I250" s="55"/>
    </row>
    <row r="251" spans="1:9" ht="15.75" x14ac:dyDescent="0.25">
      <c r="A251" s="55"/>
      <c r="B251" s="55"/>
      <c r="C251" s="55"/>
      <c r="D251" s="55"/>
      <c r="E251" s="55"/>
      <c r="F251" s="55"/>
      <c r="G251" s="55"/>
      <c r="H251" s="55"/>
      <c r="I251" s="55"/>
    </row>
    <row r="252" spans="1:9" ht="15.75" x14ac:dyDescent="0.25">
      <c r="A252" s="55"/>
      <c r="B252" s="55"/>
      <c r="C252" s="55"/>
      <c r="D252" s="55"/>
      <c r="E252" s="55"/>
      <c r="F252" s="55"/>
      <c r="G252" s="55"/>
      <c r="H252" s="55"/>
      <c r="I252" s="55"/>
    </row>
    <row r="253" spans="1:9" ht="15.75" x14ac:dyDescent="0.25">
      <c r="A253" s="55"/>
      <c r="B253" s="55"/>
      <c r="C253" s="55"/>
      <c r="D253" s="55"/>
      <c r="E253" s="55"/>
      <c r="F253" s="55"/>
      <c r="G253" s="55"/>
      <c r="H253" s="55"/>
      <c r="I253" s="55"/>
    </row>
    <row r="254" spans="1:9" ht="15.75" x14ac:dyDescent="0.25">
      <c r="A254" s="55"/>
      <c r="B254" s="55"/>
      <c r="C254" s="55"/>
      <c r="D254" s="55"/>
      <c r="E254" s="55"/>
      <c r="F254" s="55"/>
      <c r="G254" s="55"/>
      <c r="H254" s="55"/>
      <c r="I254" s="55"/>
    </row>
    <row r="255" spans="1:9" ht="15.75" x14ac:dyDescent="0.25">
      <c r="A255" s="55"/>
      <c r="B255" s="55"/>
      <c r="C255" s="55"/>
      <c r="D255" s="55"/>
      <c r="E255" s="55"/>
      <c r="F255" s="55"/>
      <c r="G255" s="55"/>
      <c r="H255" s="55"/>
      <c r="I255" s="55"/>
    </row>
    <row r="256" spans="1:9" ht="15.75" x14ac:dyDescent="0.25">
      <c r="A256" s="55"/>
      <c r="B256" s="55"/>
      <c r="C256" s="55"/>
      <c r="D256" s="55"/>
      <c r="E256" s="55"/>
      <c r="F256" s="55"/>
      <c r="G256" s="55"/>
      <c r="H256" s="55"/>
      <c r="I256" s="55"/>
    </row>
    <row r="257" spans="1:9" ht="15.75" x14ac:dyDescent="0.25">
      <c r="A257" s="55"/>
      <c r="B257" s="55"/>
      <c r="C257" s="55"/>
      <c r="D257" s="55"/>
      <c r="E257" s="55"/>
      <c r="F257" s="55"/>
      <c r="G257" s="55"/>
      <c r="H257" s="55"/>
      <c r="I257" s="55"/>
    </row>
    <row r="258" spans="1:9" ht="15.75" x14ac:dyDescent="0.25">
      <c r="A258" s="55"/>
      <c r="B258" s="55"/>
      <c r="C258" s="55"/>
      <c r="D258" s="55"/>
      <c r="E258" s="55"/>
      <c r="F258" s="55"/>
      <c r="G258" s="55"/>
      <c r="H258" s="55"/>
      <c r="I258" s="55"/>
    </row>
    <row r="259" spans="1:9" ht="15.75" x14ac:dyDescent="0.25">
      <c r="A259" s="55"/>
      <c r="B259" s="55"/>
      <c r="C259" s="55"/>
      <c r="D259" s="55"/>
      <c r="E259" s="55"/>
      <c r="F259" s="55"/>
      <c r="G259" s="55"/>
      <c r="H259" s="55"/>
      <c r="I259" s="55"/>
    </row>
    <row r="260" spans="1:9" ht="15.75" x14ac:dyDescent="0.25">
      <c r="A260" s="55"/>
      <c r="B260" s="55"/>
      <c r="C260" s="55"/>
      <c r="D260" s="55"/>
      <c r="E260" s="55"/>
      <c r="F260" s="55"/>
      <c r="G260" s="55"/>
      <c r="H260" s="55"/>
      <c r="I260" s="55"/>
    </row>
    <row r="261" spans="1:9" ht="15.75" x14ac:dyDescent="0.25">
      <c r="A261" s="55"/>
      <c r="B261" s="55"/>
      <c r="C261" s="55"/>
      <c r="D261" s="55"/>
      <c r="E261" s="55"/>
      <c r="F261" s="55"/>
      <c r="G261" s="55"/>
      <c r="H261" s="55"/>
      <c r="I261" s="55"/>
    </row>
    <row r="262" spans="1:9" ht="15.75" x14ac:dyDescent="0.25">
      <c r="A262" s="55"/>
      <c r="B262" s="55"/>
      <c r="C262" s="55"/>
      <c r="D262" s="55"/>
      <c r="E262" s="55"/>
      <c r="F262" s="55"/>
      <c r="G262" s="55"/>
      <c r="H262" s="55"/>
      <c r="I262" s="55"/>
    </row>
    <row r="263" spans="1:9" ht="15.75" x14ac:dyDescent="0.25">
      <c r="A263" s="55"/>
      <c r="B263" s="55"/>
      <c r="C263" s="55"/>
      <c r="D263" s="55"/>
      <c r="E263" s="55"/>
      <c r="F263" s="55"/>
      <c r="G263" s="55"/>
      <c r="H263" s="55"/>
      <c r="I263" s="55"/>
    </row>
    <row r="264" spans="1:9" ht="15.75" x14ac:dyDescent="0.25">
      <c r="A264" s="55"/>
      <c r="B264" s="55"/>
      <c r="C264" s="55"/>
      <c r="D264" s="55"/>
      <c r="E264" s="55"/>
      <c r="F264" s="55"/>
      <c r="G264" s="55"/>
      <c r="H264" s="55"/>
      <c r="I264" s="55"/>
    </row>
    <row r="265" spans="1:9" ht="15.75" x14ac:dyDescent="0.25">
      <c r="A265" s="55"/>
      <c r="B265" s="55"/>
      <c r="C265" s="55"/>
      <c r="D265" s="55"/>
      <c r="E265" s="55"/>
      <c r="F265" s="55"/>
      <c r="G265" s="55"/>
      <c r="H265" s="55"/>
      <c r="I265" s="55"/>
    </row>
    <row r="266" spans="1:9" ht="15.75" x14ac:dyDescent="0.25">
      <c r="A266" s="55"/>
      <c r="B266" s="55"/>
      <c r="C266" s="55"/>
      <c r="D266" s="55"/>
      <c r="E266" s="55"/>
      <c r="F266" s="55"/>
      <c r="G266" s="55"/>
      <c r="H266" s="55"/>
      <c r="I266" s="55"/>
    </row>
    <row r="267" spans="1:9" ht="15.75" x14ac:dyDescent="0.25">
      <c r="A267" s="55"/>
      <c r="B267" s="55"/>
      <c r="C267" s="55"/>
      <c r="D267" s="55"/>
      <c r="E267" s="55"/>
      <c r="F267" s="55"/>
      <c r="G267" s="55"/>
      <c r="H267" s="55"/>
      <c r="I267" s="55"/>
    </row>
    <row r="268" spans="1:9" ht="15.75" x14ac:dyDescent="0.25">
      <c r="A268" s="55"/>
      <c r="B268" s="55"/>
      <c r="C268" s="55"/>
      <c r="D268" s="55"/>
      <c r="E268" s="55"/>
      <c r="F268" s="55"/>
      <c r="G268" s="55"/>
      <c r="H268" s="55"/>
      <c r="I268" s="55"/>
    </row>
    <row r="269" spans="1:9" ht="15.75" x14ac:dyDescent="0.25">
      <c r="A269" s="55"/>
      <c r="B269" s="55"/>
      <c r="C269" s="55"/>
      <c r="D269" s="55"/>
      <c r="E269" s="55"/>
      <c r="F269" s="55"/>
      <c r="G269" s="55"/>
      <c r="H269" s="55"/>
      <c r="I269" s="55"/>
    </row>
    <row r="270" spans="1:9" ht="15.75" x14ac:dyDescent="0.25">
      <c r="A270" s="55"/>
      <c r="B270" s="55"/>
      <c r="C270" s="55"/>
      <c r="D270" s="55"/>
      <c r="E270" s="55"/>
      <c r="F270" s="55"/>
      <c r="G270" s="55"/>
      <c r="H270" s="55"/>
      <c r="I270" s="55"/>
    </row>
    <row r="271" spans="1:9" ht="15.75" x14ac:dyDescent="0.25">
      <c r="A271" s="55"/>
      <c r="B271" s="55"/>
      <c r="C271" s="55"/>
      <c r="D271" s="55"/>
      <c r="E271" s="55"/>
      <c r="F271" s="55"/>
      <c r="G271" s="55"/>
      <c r="H271" s="55"/>
      <c r="I271" s="55"/>
    </row>
    <row r="272" spans="1:9" ht="15.75" x14ac:dyDescent="0.25">
      <c r="A272" s="55"/>
      <c r="B272" s="55"/>
      <c r="C272" s="55"/>
      <c r="D272" s="55"/>
      <c r="E272" s="55"/>
      <c r="F272" s="55"/>
      <c r="G272" s="55"/>
      <c r="H272" s="55"/>
      <c r="I272" s="55"/>
    </row>
    <row r="273" spans="1:9" ht="15.75" x14ac:dyDescent="0.25">
      <c r="A273" s="55"/>
      <c r="B273" s="55"/>
      <c r="C273" s="55"/>
      <c r="D273" s="55"/>
      <c r="E273" s="55"/>
      <c r="F273" s="55"/>
      <c r="G273" s="55"/>
      <c r="H273" s="55"/>
      <c r="I273" s="55"/>
    </row>
    <row r="274" spans="1:9" ht="15.75" x14ac:dyDescent="0.25">
      <c r="A274" s="55"/>
      <c r="B274" s="55"/>
      <c r="C274" s="55"/>
      <c r="D274" s="55"/>
      <c r="E274" s="55"/>
      <c r="F274" s="55"/>
      <c r="G274" s="55"/>
      <c r="H274" s="55"/>
      <c r="I274" s="55"/>
    </row>
    <row r="275" spans="1:9" ht="15.75" x14ac:dyDescent="0.25">
      <c r="A275" s="55"/>
      <c r="B275" s="55"/>
      <c r="C275" s="55"/>
      <c r="D275" s="55"/>
      <c r="E275" s="55"/>
      <c r="F275" s="55"/>
      <c r="G275" s="55"/>
      <c r="H275" s="55"/>
      <c r="I275" s="55"/>
    </row>
    <row r="276" spans="1:9" ht="15.75" x14ac:dyDescent="0.25">
      <c r="A276" s="55"/>
      <c r="B276" s="55"/>
      <c r="C276" s="55"/>
      <c r="D276" s="55"/>
      <c r="E276" s="55"/>
      <c r="F276" s="55"/>
      <c r="G276" s="55"/>
      <c r="H276" s="55"/>
      <c r="I276" s="55"/>
    </row>
    <row r="277" spans="1:9" ht="15.75" x14ac:dyDescent="0.25">
      <c r="A277" s="55"/>
      <c r="B277" s="55"/>
      <c r="C277" s="55"/>
      <c r="D277" s="55"/>
      <c r="E277" s="55"/>
      <c r="F277" s="55"/>
      <c r="G277" s="55"/>
      <c r="H277" s="55"/>
      <c r="I277" s="55"/>
    </row>
    <row r="278" spans="1:9" ht="15.75" x14ac:dyDescent="0.25">
      <c r="A278" s="55"/>
      <c r="B278" s="55"/>
      <c r="C278" s="55"/>
      <c r="D278" s="55"/>
      <c r="E278" s="55"/>
      <c r="F278" s="55"/>
      <c r="G278" s="55"/>
      <c r="H278" s="55"/>
      <c r="I278" s="55"/>
    </row>
    <row r="279" spans="1:9" ht="15.75" x14ac:dyDescent="0.25">
      <c r="A279" s="55"/>
      <c r="B279" s="55"/>
      <c r="C279" s="55"/>
      <c r="D279" s="55"/>
      <c r="E279" s="55"/>
      <c r="F279" s="55"/>
      <c r="G279" s="55"/>
      <c r="H279" s="55"/>
      <c r="I279" s="55"/>
    </row>
    <row r="280" spans="1:9" ht="15.75" x14ac:dyDescent="0.25">
      <c r="A280" s="55"/>
      <c r="B280" s="55"/>
      <c r="C280" s="55"/>
      <c r="D280" s="55"/>
      <c r="E280" s="55"/>
      <c r="F280" s="55"/>
      <c r="G280" s="55"/>
      <c r="H280" s="55"/>
      <c r="I280" s="55"/>
    </row>
    <row r="281" spans="1:9" ht="15.75" x14ac:dyDescent="0.25">
      <c r="A281" s="55"/>
      <c r="B281" s="55"/>
      <c r="C281" s="55"/>
      <c r="D281" s="55"/>
      <c r="E281" s="55"/>
      <c r="F281" s="55"/>
      <c r="G281" s="55"/>
      <c r="H281" s="55"/>
      <c r="I281" s="55"/>
    </row>
    <row r="282" spans="1:9" ht="15.75" x14ac:dyDescent="0.25">
      <c r="A282" s="55"/>
      <c r="B282" s="55"/>
      <c r="C282" s="55"/>
      <c r="D282" s="55"/>
      <c r="E282" s="55"/>
      <c r="F282" s="55"/>
      <c r="G282" s="55"/>
      <c r="H282" s="55"/>
      <c r="I282" s="55"/>
    </row>
    <row r="283" spans="1:9" ht="15.75" x14ac:dyDescent="0.25">
      <c r="A283" s="55"/>
      <c r="B283" s="55"/>
      <c r="C283" s="55"/>
      <c r="D283" s="55"/>
      <c r="E283" s="55"/>
      <c r="F283" s="55"/>
      <c r="G283" s="55"/>
      <c r="H283" s="55"/>
      <c r="I283" s="55"/>
    </row>
    <row r="284" spans="1:9" ht="15.75" x14ac:dyDescent="0.25">
      <c r="A284" s="55"/>
      <c r="B284" s="55"/>
      <c r="C284" s="55"/>
      <c r="D284" s="55"/>
      <c r="E284" s="55"/>
      <c r="F284" s="55"/>
      <c r="G284" s="55"/>
      <c r="H284" s="55"/>
      <c r="I284" s="55"/>
    </row>
    <row r="285" spans="1:9" ht="15.75" x14ac:dyDescent="0.25">
      <c r="A285" s="55"/>
      <c r="B285" s="55"/>
      <c r="C285" s="55"/>
      <c r="D285" s="55"/>
      <c r="E285" s="55"/>
      <c r="F285" s="55"/>
      <c r="G285" s="55"/>
      <c r="H285" s="55"/>
      <c r="I285" s="55"/>
    </row>
    <row r="286" spans="1:9" ht="15.75" x14ac:dyDescent="0.25">
      <c r="A286" s="55"/>
      <c r="B286" s="55"/>
      <c r="C286" s="55"/>
      <c r="D286" s="55"/>
      <c r="E286" s="55"/>
      <c r="F286" s="55"/>
      <c r="G286" s="55"/>
      <c r="H286" s="55"/>
      <c r="I286" s="55"/>
    </row>
    <row r="287" spans="1:9" ht="15.75" x14ac:dyDescent="0.25">
      <c r="A287" s="55"/>
      <c r="B287" s="55"/>
      <c r="C287" s="55"/>
      <c r="D287" s="55"/>
      <c r="E287" s="55"/>
      <c r="F287" s="55"/>
      <c r="G287" s="55"/>
      <c r="H287" s="55"/>
      <c r="I287" s="55"/>
    </row>
    <row r="288" spans="1:9" ht="15.75" x14ac:dyDescent="0.25">
      <c r="A288" s="55"/>
      <c r="B288" s="55"/>
      <c r="C288" s="55"/>
      <c r="D288" s="55"/>
      <c r="E288" s="55"/>
      <c r="F288" s="55"/>
      <c r="G288" s="55"/>
      <c r="H288" s="55"/>
      <c r="I288" s="55"/>
    </row>
    <row r="289" spans="1:9" ht="15.75" x14ac:dyDescent="0.25">
      <c r="A289" s="55"/>
      <c r="B289" s="55"/>
      <c r="C289" s="55"/>
      <c r="D289" s="55"/>
      <c r="E289" s="55"/>
      <c r="F289" s="55"/>
      <c r="G289" s="55"/>
      <c r="H289" s="55"/>
      <c r="I289" s="55"/>
    </row>
    <row r="290" spans="1:9" ht="15.75" x14ac:dyDescent="0.25">
      <c r="A290" s="55"/>
      <c r="B290" s="55"/>
      <c r="C290" s="55"/>
      <c r="D290" s="55"/>
      <c r="E290" s="55"/>
      <c r="F290" s="55"/>
      <c r="G290" s="55"/>
      <c r="H290" s="55"/>
      <c r="I290" s="55"/>
    </row>
    <row r="291" spans="1:9" ht="15.75" x14ac:dyDescent="0.25">
      <c r="A291" s="55"/>
      <c r="B291" s="55"/>
      <c r="C291" s="55"/>
      <c r="D291" s="55"/>
      <c r="E291" s="55"/>
      <c r="F291" s="55"/>
      <c r="G291" s="55"/>
      <c r="H291" s="55"/>
      <c r="I291" s="55"/>
    </row>
    <row r="292" spans="1:9" ht="15.75" x14ac:dyDescent="0.25">
      <c r="A292" s="55"/>
      <c r="B292" s="55"/>
      <c r="C292" s="55"/>
      <c r="D292" s="55"/>
      <c r="E292" s="55"/>
      <c r="F292" s="55"/>
      <c r="G292" s="55"/>
      <c r="H292" s="55"/>
      <c r="I292" s="55"/>
    </row>
    <row r="293" spans="1:9" ht="15.75" x14ac:dyDescent="0.25">
      <c r="A293" s="55"/>
      <c r="B293" s="55"/>
      <c r="C293" s="55"/>
      <c r="D293" s="55"/>
      <c r="E293" s="55"/>
      <c r="F293" s="55"/>
      <c r="G293" s="55"/>
      <c r="H293" s="55"/>
      <c r="I293" s="55"/>
    </row>
    <row r="294" spans="1:9" ht="15.75" x14ac:dyDescent="0.25">
      <c r="A294" s="55"/>
      <c r="B294" s="55"/>
      <c r="C294" s="55"/>
      <c r="D294" s="55"/>
      <c r="E294" s="55"/>
      <c r="F294" s="55"/>
      <c r="G294" s="55"/>
      <c r="H294" s="55"/>
      <c r="I294" s="55"/>
    </row>
    <row r="295" spans="1:9" ht="15.75" x14ac:dyDescent="0.25">
      <c r="A295" s="55"/>
      <c r="B295" s="55"/>
      <c r="C295" s="55"/>
      <c r="D295" s="55"/>
      <c r="E295" s="55"/>
      <c r="F295" s="55"/>
      <c r="G295" s="55"/>
      <c r="H295" s="55"/>
      <c r="I295" s="55"/>
    </row>
    <row r="296" spans="1:9" ht="15.75" x14ac:dyDescent="0.25">
      <c r="A296" s="55"/>
      <c r="B296" s="55"/>
      <c r="C296" s="55"/>
      <c r="D296" s="55"/>
      <c r="E296" s="55"/>
      <c r="F296" s="55"/>
      <c r="G296" s="55"/>
      <c r="H296" s="55"/>
      <c r="I296" s="55"/>
    </row>
    <row r="297" spans="1:9" ht="15.75" x14ac:dyDescent="0.25">
      <c r="A297" s="55"/>
      <c r="B297" s="55"/>
      <c r="C297" s="55"/>
      <c r="D297" s="55"/>
      <c r="E297" s="55"/>
      <c r="F297" s="55"/>
      <c r="G297" s="55"/>
      <c r="H297" s="55"/>
      <c r="I297" s="55"/>
    </row>
    <row r="298" spans="1:9" ht="15.75" x14ac:dyDescent="0.25">
      <c r="A298" s="55"/>
      <c r="B298" s="55"/>
      <c r="C298" s="55"/>
      <c r="D298" s="55"/>
      <c r="E298" s="55"/>
      <c r="F298" s="55"/>
      <c r="G298" s="55"/>
      <c r="H298" s="55"/>
      <c r="I298" s="55"/>
    </row>
    <row r="299" spans="1:9" ht="15.75" x14ac:dyDescent="0.25">
      <c r="A299" s="55"/>
      <c r="B299" s="55"/>
      <c r="C299" s="55"/>
      <c r="D299" s="55"/>
      <c r="E299" s="55"/>
      <c r="F299" s="55"/>
      <c r="G299" s="55"/>
      <c r="H299" s="55"/>
      <c r="I299" s="55"/>
    </row>
    <row r="300" spans="1:9" ht="15.75" x14ac:dyDescent="0.25">
      <c r="A300" s="55"/>
      <c r="B300" s="55"/>
      <c r="C300" s="55"/>
      <c r="D300" s="55"/>
      <c r="E300" s="55"/>
      <c r="F300" s="55"/>
      <c r="G300" s="55"/>
      <c r="H300" s="55"/>
      <c r="I300" s="55"/>
    </row>
    <row r="301" spans="1:9" ht="15.75" x14ac:dyDescent="0.25">
      <c r="A301" s="55"/>
      <c r="B301" s="55"/>
      <c r="C301" s="55"/>
      <c r="D301" s="55"/>
      <c r="E301" s="55"/>
      <c r="F301" s="55"/>
      <c r="G301" s="55"/>
      <c r="H301" s="55"/>
      <c r="I301" s="55"/>
    </row>
    <row r="302" spans="1:9" ht="15.75" x14ac:dyDescent="0.25">
      <c r="A302" s="55"/>
      <c r="B302" s="55"/>
      <c r="C302" s="55"/>
      <c r="D302" s="55"/>
      <c r="E302" s="55"/>
      <c r="F302" s="55"/>
      <c r="G302" s="55"/>
      <c r="H302" s="55"/>
      <c r="I302" s="55"/>
    </row>
    <row r="303" spans="1:9" ht="15.75" x14ac:dyDescent="0.25">
      <c r="A303" s="55"/>
      <c r="B303" s="55"/>
      <c r="C303" s="55"/>
      <c r="D303" s="55"/>
      <c r="E303" s="55"/>
      <c r="F303" s="55"/>
      <c r="G303" s="55"/>
      <c r="H303" s="55"/>
      <c r="I303" s="55"/>
    </row>
    <row r="304" spans="1:9" ht="15.75" x14ac:dyDescent="0.25">
      <c r="A304" s="55"/>
      <c r="B304" s="55"/>
      <c r="C304" s="55"/>
      <c r="D304" s="55"/>
      <c r="E304" s="55"/>
      <c r="F304" s="55"/>
      <c r="G304" s="55"/>
      <c r="H304" s="55"/>
      <c r="I304" s="55"/>
    </row>
    <row r="305" spans="1:9" ht="15.75" x14ac:dyDescent="0.25">
      <c r="A305" s="55"/>
      <c r="B305" s="55"/>
      <c r="C305" s="55"/>
      <c r="D305" s="55"/>
      <c r="E305" s="55"/>
      <c r="F305" s="55"/>
      <c r="G305" s="55"/>
      <c r="H305" s="55"/>
      <c r="I305" s="55"/>
    </row>
    <row r="306" spans="1:9" ht="15.75" x14ac:dyDescent="0.25">
      <c r="A306" s="55"/>
      <c r="B306" s="55"/>
      <c r="C306" s="55"/>
      <c r="D306" s="55"/>
      <c r="E306" s="55"/>
      <c r="F306" s="55"/>
      <c r="G306" s="55"/>
      <c r="H306" s="55"/>
      <c r="I306" s="55"/>
    </row>
    <row r="307" spans="1:9" ht="15.75" x14ac:dyDescent="0.25">
      <c r="A307" s="55"/>
      <c r="B307" s="55"/>
      <c r="C307" s="55"/>
      <c r="D307" s="55"/>
      <c r="E307" s="55"/>
      <c r="F307" s="55"/>
      <c r="G307" s="55"/>
      <c r="H307" s="55"/>
      <c r="I307" s="55"/>
    </row>
    <row r="308" spans="1:9" ht="15.75" x14ac:dyDescent="0.25">
      <c r="A308" s="55"/>
      <c r="B308" s="55"/>
      <c r="C308" s="55"/>
      <c r="D308" s="55"/>
      <c r="E308" s="55"/>
      <c r="F308" s="55"/>
      <c r="G308" s="55"/>
      <c r="H308" s="55"/>
      <c r="I308" s="55"/>
    </row>
    <row r="309" spans="1:9" ht="15.75" x14ac:dyDescent="0.25">
      <c r="A309" s="55"/>
      <c r="B309" s="55"/>
      <c r="C309" s="55"/>
      <c r="D309" s="55"/>
      <c r="E309" s="55"/>
      <c r="F309" s="55"/>
      <c r="G309" s="55"/>
      <c r="H309" s="55"/>
      <c r="I309" s="55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28</vt:i4>
      </vt:variant>
    </vt:vector>
  </HeadingPairs>
  <TitlesOfParts>
    <vt:vector size="44" baseType="lpstr">
      <vt:lpstr>Quarterly Statement</vt:lpstr>
      <vt:lpstr>Quarterly Analysis Statement</vt:lpstr>
      <vt:lpstr>YE Final</vt:lpstr>
      <vt:lpstr>Top Level</vt:lpstr>
      <vt:lpstr>Data Entry</vt:lpstr>
      <vt:lpstr>Bank Accounts</vt:lpstr>
      <vt:lpstr>Ken Fehl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'Ken Fehl'!Print_Area</vt:lpstr>
      <vt:lpstr>'Data Entry'!Print_Titles</vt:lpstr>
      <vt:lpstr>PrudentPct</vt:lpstr>
      <vt:lpstr>QtrAvgRange</vt:lpstr>
      <vt:lpstr>QtrRollingAvgPct</vt:lpstr>
      <vt:lpstr>QtrsAvg</vt:lpstr>
      <vt:lpstr>QtrSumAvg</vt:lpstr>
      <vt:lpstr>QtrTitle</vt:lpstr>
      <vt:lpstr>QtrTop</vt:lpstr>
      <vt:lpstr>Reserve</vt:lpstr>
      <vt:lpstr>SumAccount</vt:lpstr>
      <vt:lpstr>SumBank</vt:lpstr>
      <vt:lpstr>SumExp</vt:lpstr>
      <vt:lpstr>SumMonth</vt:lpstr>
      <vt:lpstr>SumMonthNum</vt:lpstr>
      <vt:lpstr>SumQ1</vt:lpstr>
      <vt:lpstr>SumQ2</vt:lpstr>
      <vt:lpstr>SumQ3</vt:lpstr>
      <vt:lpstr>SumQ4</vt:lpstr>
      <vt:lpstr>SumRevenue</vt:lpstr>
    </vt:vector>
  </TitlesOfParts>
  <Company>The Bon-Ton Stores,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jakenetadmin@yahoo.com</cp:lastModifiedBy>
  <cp:lastPrinted>2024-01-11T20:11:16Z</cp:lastPrinted>
  <dcterms:created xsi:type="dcterms:W3CDTF">2013-11-11T13:58:06Z</dcterms:created>
  <dcterms:modified xsi:type="dcterms:W3CDTF">2024-01-12T02:07:19Z</dcterms:modified>
</cp:coreProperties>
</file>